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23415" windowHeight="9405" activeTab="0"/>
  </bookViews>
  <sheets>
    <sheet name="ข" sheetId="1" r:id="rId1"/>
    <sheet name="ค" sheetId="2" r:id="rId2"/>
    <sheet name="ง" sheetId="3" r:id="rId3"/>
    <sheet name="ฉ" sheetId="4" r:id="rId4"/>
    <sheet name="ฆ" sheetId="5" r:id="rId5"/>
    <sheet name="ภ.ด.ส.2 " sheetId="6" r:id="rId6"/>
    <sheet name="Sheet1" sheetId="7" r:id="rId7"/>
  </sheets>
  <definedNames>
    <definedName name="_xlnm._FilterDatabase" localSheetId="5" hidden="1">'ภ.ด.ส.2 '!$A$1:$A$76</definedName>
    <definedName name="_xlnm.Print_Titles" localSheetId="0">'ข'!$1:$7</definedName>
    <definedName name="_xlnm.Print_Titles" localSheetId="1">'ค'!$1:$7</definedName>
    <definedName name="_xlnm.Print_Titles" localSheetId="4">'ฆ'!$1:$7</definedName>
    <definedName name="_xlnm.Print_Titles" localSheetId="2">'ง'!$1:$7</definedName>
    <definedName name="_xlnm.Print_Titles" localSheetId="3">'ฉ'!$1:$7</definedName>
    <definedName name="_xlnm.Print_Titles" localSheetId="5">'ภ.ด.ส.2 '!$1:$7</definedName>
  </definedNames>
  <calcPr fullCalcOnLoad="1"/>
</workbook>
</file>

<file path=xl/sharedStrings.xml><?xml version="1.0" encoding="utf-8"?>
<sst xmlns="http://schemas.openxmlformats.org/spreadsheetml/2006/main" count="7417" uniqueCount="1874">
  <si>
    <t>.</t>
  </si>
  <si>
    <t>โฉนด</t>
  </si>
  <si>
    <t xml:space="preserve"> </t>
  </si>
  <si>
    <t>(บาท)</t>
  </si>
  <si>
    <t>(ร้อยละ)</t>
  </si>
  <si>
    <t>(ปี)</t>
  </si>
  <si>
    <t>งาน</t>
  </si>
  <si>
    <t>ไร่</t>
  </si>
  <si>
    <t>ยกเว้น</t>
  </si>
  <si>
    <t>สิ่งปลูกสร้าง</t>
  </si>
  <si>
    <t>หลังหักค่าเสื่อม</t>
  </si>
  <si>
    <t>ค่าเสื่อม</t>
  </si>
  <si>
    <t>โรงเรือน</t>
  </si>
  <si>
    <t>ต่อ ตร.ม.</t>
  </si>
  <si>
    <t>(ตร.ม.)</t>
  </si>
  <si>
    <t>ต่อ ตร.ว.</t>
  </si>
  <si>
    <t>ตร.ว.</t>
  </si>
  <si>
    <t>ประโยชน์</t>
  </si>
  <si>
    <t>ภาษี</t>
  </si>
  <si>
    <t>ทุนทรัพย์</t>
  </si>
  <si>
    <t>ที่ได้รับ</t>
  </si>
  <si>
    <t>ที่ดินและ</t>
  </si>
  <si>
    <t>คิดเป็น</t>
  </si>
  <si>
    <t>อายุ</t>
  </si>
  <si>
    <t>ประเมิน</t>
  </si>
  <si>
    <t xml:space="preserve">ประเมิน </t>
  </si>
  <si>
    <t xml:space="preserve">สิ่งปลูกสร้าง </t>
  </si>
  <si>
    <t xml:space="preserve">เป็น </t>
  </si>
  <si>
    <t>เนื้อที่ดิน</t>
  </si>
  <si>
    <t>เลขที่</t>
  </si>
  <si>
    <t>อัตรา</t>
  </si>
  <si>
    <t>ราคาประเมิน</t>
  </si>
  <si>
    <t>ฐานภาษี</t>
  </si>
  <si>
    <t>ประเมินของ</t>
  </si>
  <si>
    <t>รวมราคา</t>
  </si>
  <si>
    <t>ราคา</t>
  </si>
  <si>
    <t>ขนาดพื้นที่</t>
  </si>
  <si>
    <t xml:space="preserve">   ประเภท   </t>
  </si>
  <si>
    <t>ที่</t>
  </si>
  <si>
    <t>คำนวณ</t>
  </si>
  <si>
    <t xml:space="preserve">จำนวน </t>
  </si>
  <si>
    <t>ลักษณะ</t>
  </si>
  <si>
    <t>ประเภท</t>
  </si>
  <si>
    <t>คงเหลือ</t>
  </si>
  <si>
    <t>หักมูลค่า</t>
  </si>
  <si>
    <t>ชื่ออาคารชุด</t>
  </si>
  <si>
    <t>เลขทะเบียน</t>
  </si>
  <si>
    <t>อาคารชุด</t>
  </si>
  <si>
    <t>ห้องชุด</t>
  </si>
  <si>
    <t>การทำประโยชน์</t>
  </si>
  <si>
    <t>เลขที่ห้องชุด</t>
  </si>
  <si>
    <t>ขนาดพื้นที่รวม</t>
  </si>
  <si>
    <t>หักมูลค่าฐานภาษี</t>
  </si>
  <si>
    <t>ที่ได้รับการยกเว้น</t>
  </si>
  <si>
    <t>คงเหลือราคา</t>
  </si>
  <si>
    <t>อัตราภาษี</t>
  </si>
  <si>
    <t>ราคาประเมินทุนทรัพย์ของที่ดิน</t>
  </si>
  <si>
    <t>ราคารประเมินทุนทรัพย์ของสิ่งปลูกสร้าง</t>
  </si>
  <si>
    <t>ที่ดิน</t>
  </si>
  <si>
    <t>วา</t>
  </si>
  <si>
    <t>ตึกแถว</t>
  </si>
  <si>
    <t>ห้องแถว</t>
  </si>
  <si>
    <t>บ้านแถว</t>
  </si>
  <si>
    <t>สถานศึกษา</t>
  </si>
  <si>
    <t>บ้านเดี่ยว</t>
  </si>
  <si>
    <t>ภัตตาคาร</t>
  </si>
  <si>
    <t>105846</t>
  </si>
  <si>
    <t>105847</t>
  </si>
  <si>
    <t>105897</t>
  </si>
  <si>
    <t>105848</t>
  </si>
  <si>
    <t>9229</t>
  </si>
  <si>
    <t>8622</t>
  </si>
  <si>
    <t>9230</t>
  </si>
  <si>
    <t>5/5</t>
  </si>
  <si>
    <t>23/36</t>
  </si>
  <si>
    <t>2543</t>
  </si>
  <si>
    <t>12/14</t>
  </si>
  <si>
    <t>2544</t>
  </si>
  <si>
    <t>17/24</t>
  </si>
  <si>
    <t>ตลาด&lt;1000</t>
  </si>
  <si>
    <t>21649</t>
  </si>
  <si>
    <t>11/12</t>
  </si>
  <si>
    <t>13/16</t>
  </si>
  <si>
    <t>14/18</t>
  </si>
  <si>
    <t>15/20</t>
  </si>
  <si>
    <t>16/22</t>
  </si>
  <si>
    <t>18/26</t>
  </si>
  <si>
    <t>19/28</t>
  </si>
  <si>
    <t>21/32</t>
  </si>
  <si>
    <t>22/34</t>
  </si>
  <si>
    <t>24/38</t>
  </si>
  <si>
    <t>25/40</t>
  </si>
  <si>
    <t>26/42</t>
  </si>
  <si>
    <t>27/44</t>
  </si>
  <si>
    <t>28/46</t>
  </si>
  <si>
    <t>29/48</t>
  </si>
  <si>
    <t>30/50</t>
  </si>
  <si>
    <t>31/52</t>
  </si>
  <si>
    <t>32/54</t>
  </si>
  <si>
    <t>33/56</t>
  </si>
  <si>
    <t>35/60</t>
  </si>
  <si>
    <t>36/62</t>
  </si>
  <si>
    <t>37/64</t>
  </si>
  <si>
    <t>38/66</t>
  </si>
  <si>
    <t>39/68</t>
  </si>
  <si>
    <t>41/72</t>
  </si>
  <si>
    <t>42/74</t>
  </si>
  <si>
    <t>43/76</t>
  </si>
  <si>
    <t>44/76</t>
  </si>
  <si>
    <t>47/76</t>
  </si>
  <si>
    <t>27090</t>
  </si>
  <si>
    <t>79453</t>
  </si>
  <si>
    <t>ตลาด&lt;1000 ตรม.</t>
  </si>
  <si>
    <t>คลังสินค้า&gt;300</t>
  </si>
  <si>
    <t>อาคารอยู่อาศัย&lt;5 ชั้น</t>
  </si>
  <si>
    <t>อาคารพาณิชย์ปลีก-ส่ง</t>
  </si>
  <si>
    <t>โรงงานซ่อมรถยนต์</t>
  </si>
  <si>
    <t>โรงจอดรถ</t>
  </si>
  <si>
    <t>สำนักงาน&lt;5 ชั้น</t>
  </si>
  <si>
    <t>โรงแรม&lt;5ชั้น</t>
  </si>
  <si>
    <t>95129</t>
  </si>
  <si>
    <t>67826</t>
  </si>
  <si>
    <t>21353</t>
  </si>
  <si>
    <t>86799</t>
  </si>
  <si>
    <t>119608</t>
  </si>
  <si>
    <t>119609</t>
  </si>
  <si>
    <t>119610</t>
  </si>
  <si>
    <t>119615</t>
  </si>
  <si>
    <t>119616</t>
  </si>
  <si>
    <t>16517</t>
  </si>
  <si>
    <t>55005</t>
  </si>
  <si>
    <t>4166</t>
  </si>
  <si>
    <t>ห้องแถว 9ห</t>
  </si>
  <si>
    <t>44/85</t>
  </si>
  <si>
    <t>68804</t>
  </si>
  <si>
    <t>3689</t>
  </si>
  <si>
    <t>14596</t>
  </si>
  <si>
    <t>2</t>
  </si>
  <si>
    <t>4022</t>
  </si>
  <si>
    <t>32594</t>
  </si>
  <si>
    <t>4</t>
  </si>
  <si>
    <t>95934</t>
  </si>
  <si>
    <t>115991</t>
  </si>
  <si>
    <t>3</t>
  </si>
  <si>
    <t>7/7</t>
  </si>
  <si>
    <t>19311</t>
  </si>
  <si>
    <t>23776</t>
  </si>
  <si>
    <t>19310</t>
  </si>
  <si>
    <t>29557</t>
  </si>
  <si>
    <t>29722</t>
  </si>
  <si>
    <t>4/4</t>
  </si>
  <si>
    <t>786</t>
  </si>
  <si>
    <t>นส.3</t>
  </si>
  <si>
    <t>76849</t>
  </si>
  <si>
    <t>54183</t>
  </si>
  <si>
    <t>19977</t>
  </si>
  <si>
    <t>53801</t>
  </si>
  <si>
    <t>37284</t>
  </si>
  <si>
    <t>3748</t>
  </si>
  <si>
    <t>ตึกแถว 3ห</t>
  </si>
  <si>
    <t>14821</t>
  </si>
  <si>
    <t>2529</t>
  </si>
  <si>
    <t>66686</t>
  </si>
  <si>
    <t>92139</t>
  </si>
  <si>
    <t>92138</t>
  </si>
  <si>
    <t>34354</t>
  </si>
  <si>
    <t>62248</t>
  </si>
  <si>
    <t>5</t>
  </si>
  <si>
    <t>30640</t>
  </si>
  <si>
    <t>33339</t>
  </si>
  <si>
    <t>17341</t>
  </si>
  <si>
    <t>6023</t>
  </si>
  <si>
    <t>15520</t>
  </si>
  <si>
    <t>15519</t>
  </si>
  <si>
    <t>15518</t>
  </si>
  <si>
    <t>51081</t>
  </si>
  <si>
    <t>41674</t>
  </si>
  <si>
    <t>1</t>
  </si>
  <si>
    <t>2006</t>
  </si>
  <si>
    <t>8645</t>
  </si>
  <si>
    <t>8644</t>
  </si>
  <si>
    <t>5914</t>
  </si>
  <si>
    <t>5915</t>
  </si>
  <si>
    <t>ตึกแถว 7ห</t>
  </si>
  <si>
    <t>ตึกแถว 2ห</t>
  </si>
  <si>
    <t>112847</t>
  </si>
  <si>
    <t>113283</t>
  </si>
  <si>
    <t>8/8</t>
  </si>
  <si>
    <t>4727</t>
  </si>
  <si>
    <t>4735</t>
  </si>
  <si>
    <t>2343</t>
  </si>
  <si>
    <t>2342</t>
  </si>
  <si>
    <t>3844</t>
  </si>
  <si>
    <t>1/1</t>
  </si>
  <si>
    <t>50280</t>
  </si>
  <si>
    <t>125</t>
  </si>
  <si>
    <t>124</t>
  </si>
  <si>
    <t>1555</t>
  </si>
  <si>
    <t>217</t>
  </si>
  <si>
    <t>บ้านแถว 9ห</t>
  </si>
  <si>
    <t>37004</t>
  </si>
  <si>
    <t>94249</t>
  </si>
  <si>
    <t>84242</t>
  </si>
  <si>
    <t>94248</t>
  </si>
  <si>
    <t>76738</t>
  </si>
  <si>
    <t>65640</t>
  </si>
  <si>
    <t>11605</t>
  </si>
  <si>
    <t>45509</t>
  </si>
  <si>
    <t>ห้องแถว 7ห</t>
  </si>
  <si>
    <t>929</t>
  </si>
  <si>
    <t>686</t>
  </si>
  <si>
    <t>90875</t>
  </si>
  <si>
    <t>19584</t>
  </si>
  <si>
    <t>6353</t>
  </si>
  <si>
    <t>19519</t>
  </si>
  <si>
    <t>19580</t>
  </si>
  <si>
    <t>45623</t>
  </si>
  <si>
    <t>19581</t>
  </si>
  <si>
    <t>53822</t>
  </si>
  <si>
    <t>28009</t>
  </si>
  <si>
    <t>8680</t>
  </si>
  <si>
    <t>45624</t>
  </si>
  <si>
    <t>8670</t>
  </si>
  <si>
    <t>90851</t>
  </si>
  <si>
    <t>93671</t>
  </si>
  <si>
    <t>95962</t>
  </si>
  <si>
    <t>95961</t>
  </si>
  <si>
    <t>295</t>
  </si>
  <si>
    <t>2640</t>
  </si>
  <si>
    <t>2641</t>
  </si>
  <si>
    <t>2642</t>
  </si>
  <si>
    <t>2643</t>
  </si>
  <si>
    <t>2644</t>
  </si>
  <si>
    <t>2645</t>
  </si>
  <si>
    <t>2646</t>
  </si>
  <si>
    <t>21127</t>
  </si>
  <si>
    <t>31509</t>
  </si>
  <si>
    <t>54115</t>
  </si>
  <si>
    <t>5117</t>
  </si>
  <si>
    <t>31510</t>
  </si>
  <si>
    <t>37826</t>
  </si>
  <si>
    <t>37829</t>
  </si>
  <si>
    <t>37828</t>
  </si>
  <si>
    <t>37827</t>
  </si>
  <si>
    <t>16075</t>
  </si>
  <si>
    <t>16074</t>
  </si>
  <si>
    <t>16073</t>
  </si>
  <si>
    <t>1296</t>
  </si>
  <si>
    <t>30591</t>
  </si>
  <si>
    <t>ห้องแถว 4ห</t>
  </si>
  <si>
    <t>73662</t>
  </si>
  <si>
    <t>73661</t>
  </si>
  <si>
    <t>16127</t>
  </si>
  <si>
    <t>86738</t>
  </si>
  <si>
    <t>9264</t>
  </si>
  <si>
    <t>15273</t>
  </si>
  <si>
    <t>16921</t>
  </si>
  <si>
    <t>51782</t>
  </si>
  <si>
    <t>43704</t>
  </si>
  <si>
    <t>42159</t>
  </si>
  <si>
    <t>100835</t>
  </si>
  <si>
    <t>116071</t>
  </si>
  <si>
    <t>116014</t>
  </si>
  <si>
    <t>116015</t>
  </si>
  <si>
    <t>9/9</t>
  </si>
  <si>
    <t>23936</t>
  </si>
  <si>
    <t>51525</t>
  </si>
  <si>
    <t>35012</t>
  </si>
  <si>
    <t>46922</t>
  </si>
  <si>
    <t>12659</t>
  </si>
  <si>
    <t>12244</t>
  </si>
  <si>
    <t>120085</t>
  </si>
  <si>
    <t>119962</t>
  </si>
  <si>
    <t>119961</t>
  </si>
  <si>
    <t>119960</t>
  </si>
  <si>
    <t>119966</t>
  </si>
  <si>
    <t>119964</t>
  </si>
  <si>
    <t>119965</t>
  </si>
  <si>
    <t>9517</t>
  </si>
  <si>
    <t>41130</t>
  </si>
  <si>
    <t>"</t>
  </si>
  <si>
    <t>14769</t>
  </si>
  <si>
    <t>2022</t>
  </si>
  <si>
    <t>99</t>
  </si>
  <si>
    <t>80159</t>
  </si>
  <si>
    <t>18602</t>
  </si>
  <si>
    <t>18603</t>
  </si>
  <si>
    <t>18601</t>
  </si>
  <si>
    <t>18604</t>
  </si>
  <si>
    <t>18606</t>
  </si>
  <si>
    <t>18605</t>
  </si>
  <si>
    <t>27367</t>
  </si>
  <si>
    <t>7829</t>
  </si>
  <si>
    <t>23324</t>
  </si>
  <si>
    <t>2626</t>
  </si>
  <si>
    <t>2469</t>
  </si>
  <si>
    <t>101942</t>
  </si>
  <si>
    <t>21758</t>
  </si>
  <si>
    <t>21757</t>
  </si>
  <si>
    <t>21756</t>
  </si>
  <si>
    <t>21755</t>
  </si>
  <si>
    <t>73076</t>
  </si>
  <si>
    <t xml:space="preserve">ตึกแถว </t>
  </si>
  <si>
    <t>11640</t>
  </si>
  <si>
    <t>9639</t>
  </si>
  <si>
    <t>11639</t>
  </si>
  <si>
    <t>13209</t>
  </si>
  <si>
    <t>11638</t>
  </si>
  <si>
    <t>18021</t>
  </si>
  <si>
    <t>2939</t>
  </si>
  <si>
    <t>245</t>
  </si>
  <si>
    <t>83067</t>
  </si>
  <si>
    <t>17136</t>
  </si>
  <si>
    <t>80933</t>
  </si>
  <si>
    <t>10/10</t>
  </si>
  <si>
    <t>64160</t>
  </si>
  <si>
    <t>8757</t>
  </si>
  <si>
    <t>801</t>
  </si>
  <si>
    <t>27749</t>
  </si>
  <si>
    <t>6449</t>
  </si>
  <si>
    <t>2246</t>
  </si>
  <si>
    <t>2/2</t>
  </si>
  <si>
    <t>24580</t>
  </si>
  <si>
    <t>24591</t>
  </si>
  <si>
    <t>52674</t>
  </si>
  <si>
    <t>4668</t>
  </si>
  <si>
    <t>1571</t>
  </si>
  <si>
    <t>ตึกแถว 4ห</t>
  </si>
  <si>
    <t>55/76</t>
  </si>
  <si>
    <t>43649</t>
  </si>
  <si>
    <t>19105</t>
  </si>
  <si>
    <t>19861</t>
  </si>
  <si>
    <t>81765</t>
  </si>
  <si>
    <t>105892</t>
  </si>
  <si>
    <t>111729</t>
  </si>
  <si>
    <t>115373</t>
  </si>
  <si>
    <t>ห้องแถว 5ห</t>
  </si>
  <si>
    <t>6/6</t>
  </si>
  <si>
    <t>20157</t>
  </si>
  <si>
    <t>20158</t>
  </si>
  <si>
    <t>33294</t>
  </si>
  <si>
    <t>27358</t>
  </si>
  <si>
    <t>27357</t>
  </si>
  <si>
    <t>63207</t>
  </si>
  <si>
    <t>21/93</t>
  </si>
  <si>
    <t>12783</t>
  </si>
  <si>
    <t>31984</t>
  </si>
  <si>
    <t>77376</t>
  </si>
  <si>
    <t>77377</t>
  </si>
  <si>
    <t>33269</t>
  </si>
  <si>
    <t>45485</t>
  </si>
  <si>
    <t>28164</t>
  </si>
  <si>
    <t>8483</t>
  </si>
  <si>
    <t>44312</t>
  </si>
  <si>
    <t>31493</t>
  </si>
  <si>
    <t>53802</t>
  </si>
  <si>
    <t>20862</t>
  </si>
  <si>
    <t>20863</t>
  </si>
  <si>
    <t>19275</t>
  </si>
  <si>
    <t>19276</t>
  </si>
  <si>
    <t>81754</t>
  </si>
  <si>
    <t>81753</t>
  </si>
  <si>
    <t>81752</t>
  </si>
  <si>
    <t>5664</t>
  </si>
  <si>
    <t>118271</t>
  </si>
  <si>
    <t>27103</t>
  </si>
  <si>
    <t>32068</t>
  </si>
  <si>
    <t>33014</t>
  </si>
  <si>
    <t>33012</t>
  </si>
  <si>
    <t>44359</t>
  </si>
  <si>
    <t>84574</t>
  </si>
  <si>
    <t>13420</t>
  </si>
  <si>
    <t>13419</t>
  </si>
  <si>
    <t>13418</t>
  </si>
  <si>
    <t>95573</t>
  </si>
  <si>
    <t>95987</t>
  </si>
  <si>
    <t>118047</t>
  </si>
  <si>
    <t>116708</t>
  </si>
  <si>
    <t>116763</t>
  </si>
  <si>
    <t>3/3</t>
  </si>
  <si>
    <t>108905</t>
  </si>
  <si>
    <t>108904</t>
  </si>
  <si>
    <t>49427</t>
  </si>
  <si>
    <t>114156</t>
  </si>
  <si>
    <t>114074</t>
  </si>
  <si>
    <t>109271</t>
  </si>
  <si>
    <t>39818</t>
  </si>
  <si>
    <t>40872</t>
  </si>
  <si>
    <t>40871</t>
  </si>
  <si>
    <t>33495</t>
  </si>
  <si>
    <t>52220</t>
  </si>
  <si>
    <t>23219</t>
  </si>
  <si>
    <t>79934</t>
  </si>
  <si>
    <t>49920</t>
  </si>
  <si>
    <t>116207</t>
  </si>
  <si>
    <t>24732</t>
  </si>
  <si>
    <t>54842</t>
  </si>
  <si>
    <t>45157</t>
  </si>
  <si>
    <t>73738</t>
  </si>
  <si>
    <t>57103</t>
  </si>
  <si>
    <t>62163</t>
  </si>
  <si>
    <t>84313</t>
  </si>
  <si>
    <t>35408</t>
  </si>
  <si>
    <t>7805</t>
  </si>
  <si>
    <t>24402</t>
  </si>
  <si>
    <t>80688</t>
  </si>
  <si>
    <t>42538</t>
  </si>
  <si>
    <t>50736</t>
  </si>
  <si>
    <t>69475</t>
  </si>
  <si>
    <t>13752</t>
  </si>
  <si>
    <t>116518</t>
  </si>
  <si>
    <t>85421</t>
  </si>
  <si>
    <t>52579</t>
  </si>
  <si>
    <t>80376</t>
  </si>
  <si>
    <t>48016</t>
  </si>
  <si>
    <t>111826</t>
  </si>
  <si>
    <t>9603</t>
  </si>
  <si>
    <t>33359</t>
  </si>
  <si>
    <t>ให้เช่าที่</t>
  </si>
  <si>
    <t>31813</t>
  </si>
  <si>
    <t>32571</t>
  </si>
  <si>
    <t>23236</t>
  </si>
  <si>
    <t>52625</t>
  </si>
  <si>
    <t>32032</t>
  </si>
  <si>
    <t>85623</t>
  </si>
  <si>
    <t>6568</t>
  </si>
  <si>
    <t>5962</t>
  </si>
  <si>
    <t>83267</t>
  </si>
  <si>
    <t>17301</t>
  </si>
  <si>
    <t>17302</t>
  </si>
  <si>
    <t>17198</t>
  </si>
  <si>
    <t>17265</t>
  </si>
  <si>
    <t>17266</t>
  </si>
  <si>
    <t>31518</t>
  </si>
  <si>
    <t>97447</t>
  </si>
  <si>
    <t>42108</t>
  </si>
  <si>
    <t>120320</t>
  </si>
  <si>
    <t>118746</t>
  </si>
  <si>
    <t>61243</t>
  </si>
  <si>
    <t>17155</t>
  </si>
  <si>
    <t>54950</t>
  </si>
  <si>
    <t>3944</t>
  </si>
  <si>
    <t>116380</t>
  </si>
  <si>
    <t>67875</t>
  </si>
  <si>
    <t>29822</t>
  </si>
  <si>
    <t>119963</t>
  </si>
  <si>
    <t>ตึก</t>
  </si>
  <si>
    <t>ตึก/ไม้</t>
  </si>
  <si>
    <t>25/85</t>
  </si>
  <si>
    <t>120921</t>
  </si>
  <si>
    <t>120922</t>
  </si>
  <si>
    <t>39332</t>
  </si>
  <si>
    <t>15697</t>
  </si>
  <si>
    <t>46151</t>
  </si>
  <si>
    <t>ไม้</t>
  </si>
  <si>
    <t>52/93</t>
  </si>
  <si>
    <t>36/85</t>
  </si>
  <si>
    <t>36/93</t>
  </si>
  <si>
    <t>48/93</t>
  </si>
  <si>
    <t>23/93</t>
  </si>
  <si>
    <t>15/50</t>
  </si>
  <si>
    <t>ห้องแถว 3ห</t>
  </si>
  <si>
    <t>36940</t>
  </si>
  <si>
    <t>41895</t>
  </si>
  <si>
    <t>68422</t>
  </si>
  <si>
    <t>68423</t>
  </si>
  <si>
    <t>68421</t>
  </si>
  <si>
    <t>68287</t>
  </si>
  <si>
    <t>68282</t>
  </si>
  <si>
    <t>33581</t>
  </si>
  <si>
    <t>457</t>
  </si>
  <si>
    <t>21480</t>
  </si>
  <si>
    <t>124911</t>
  </si>
  <si>
    <t>37851</t>
  </si>
  <si>
    <t>68233</t>
  </si>
  <si>
    <t>ทางส่วนบุคคล</t>
  </si>
  <si>
    <t>17/60</t>
  </si>
  <si>
    <t>12048</t>
  </si>
  <si>
    <t>8801</t>
  </si>
  <si>
    <t>13683</t>
  </si>
  <si>
    <t>1947</t>
  </si>
  <si>
    <t>13074</t>
  </si>
  <si>
    <t>12392</t>
  </si>
  <si>
    <t>68271</t>
  </si>
  <si>
    <t>68272</t>
  </si>
  <si>
    <t>68273</t>
  </si>
  <si>
    <t>24794</t>
  </si>
  <si>
    <t>68274</t>
  </si>
  <si>
    <t>68275</t>
  </si>
  <si>
    <t>68276</t>
  </si>
  <si>
    <t>68277</t>
  </si>
  <si>
    <t>68278</t>
  </si>
  <si>
    <t>3767</t>
  </si>
  <si>
    <t>13666</t>
  </si>
  <si>
    <t>13668</t>
  </si>
  <si>
    <t>7780</t>
  </si>
  <si>
    <t>99668</t>
  </si>
  <si>
    <t>72597</t>
  </si>
  <si>
    <t>44632</t>
  </si>
  <si>
    <t>109645</t>
  </si>
  <si>
    <t>37988</t>
  </si>
  <si>
    <t>28983</t>
  </si>
  <si>
    <t>28984</t>
  </si>
  <si>
    <t>37614</t>
  </si>
  <si>
    <t>354</t>
  </si>
  <si>
    <t>47500</t>
  </si>
  <si>
    <t>66320</t>
  </si>
  <si>
    <t>29087</t>
  </si>
  <si>
    <t>14744</t>
  </si>
  <si>
    <t>45828</t>
  </si>
  <si>
    <t>45829</t>
  </si>
  <si>
    <t>29309</t>
  </si>
  <si>
    <t>29308</t>
  </si>
  <si>
    <t>62927</t>
  </si>
  <si>
    <t>95821</t>
  </si>
  <si>
    <t>41422</t>
  </si>
  <si>
    <t>54911</t>
  </si>
  <si>
    <t>44835</t>
  </si>
  <si>
    <t>18333</t>
  </si>
  <si>
    <t>413</t>
  </si>
  <si>
    <t>2461</t>
  </si>
  <si>
    <t>66292</t>
  </si>
  <si>
    <t>88554</t>
  </si>
  <si>
    <t>6695</t>
  </si>
  <si>
    <t>6694</t>
  </si>
  <si>
    <t>7720</t>
  </si>
  <si>
    <t>28145</t>
  </si>
  <si>
    <t>38956</t>
  </si>
  <si>
    <t>38939</t>
  </si>
  <si>
    <t>41035</t>
  </si>
  <si>
    <t>36919</t>
  </si>
  <si>
    <t>50585</t>
  </si>
  <si>
    <t>58749</t>
  </si>
  <si>
    <t>18396</t>
  </si>
  <si>
    <t>6209</t>
  </si>
  <si>
    <t>6687</t>
  </si>
  <si>
    <t>6900</t>
  </si>
  <si>
    <t>2040</t>
  </si>
  <si>
    <t>30718</t>
  </si>
  <si>
    <t>17775</t>
  </si>
  <si>
    <t>1919</t>
  </si>
  <si>
    <t>11334</t>
  </si>
  <si>
    <t>91011</t>
  </si>
  <si>
    <t>91010</t>
  </si>
  <si>
    <t>43052</t>
  </si>
  <si>
    <t>33851</t>
  </si>
  <si>
    <t>18691</t>
  </si>
  <si>
    <t>58233</t>
  </si>
  <si>
    <t>73279</t>
  </si>
  <si>
    <t>32943</t>
  </si>
  <si>
    <t>81664</t>
  </si>
  <si>
    <t>111712</t>
  </si>
  <si>
    <t>111713</t>
  </si>
  <si>
    <t>81696</t>
  </si>
  <si>
    <t>81695</t>
  </si>
  <si>
    <t>4514</t>
  </si>
  <si>
    <t>20682</t>
  </si>
  <si>
    <t>20725</t>
  </si>
  <si>
    <t>22039</t>
  </si>
  <si>
    <t>37034</t>
  </si>
  <si>
    <t>13646</t>
  </si>
  <si>
    <t>22719</t>
  </si>
  <si>
    <t>22718</t>
  </si>
  <si>
    <t>212717</t>
  </si>
  <si>
    <t>22713</t>
  </si>
  <si>
    <t>10372</t>
  </si>
  <si>
    <t>10373</t>
  </si>
  <si>
    <t>10374</t>
  </si>
  <si>
    <t>24125</t>
  </si>
  <si>
    <t>25259</t>
  </si>
  <si>
    <t>21003</t>
  </si>
  <si>
    <t>35905</t>
  </si>
  <si>
    <t>114176</t>
  </si>
  <si>
    <t>6500</t>
  </si>
  <si>
    <t>26568</t>
  </si>
  <si>
    <t>37947</t>
  </si>
  <si>
    <t>37948</t>
  </si>
  <si>
    <t>16730</t>
  </si>
  <si>
    <t>16731</t>
  </si>
  <si>
    <t>18187</t>
  </si>
  <si>
    <t>25637</t>
  </si>
  <si>
    <t>534</t>
  </si>
  <si>
    <t>19381</t>
  </si>
  <si>
    <t>19375</t>
  </si>
  <si>
    <t>19376</t>
  </si>
  <si>
    <t>19377</t>
  </si>
  <si>
    <t>19378</t>
  </si>
  <si>
    <t>19379</t>
  </si>
  <si>
    <t>19380</t>
  </si>
  <si>
    <t>19382</t>
  </si>
  <si>
    <t>19383</t>
  </si>
  <si>
    <t>19384</t>
  </si>
  <si>
    <t>19385</t>
  </si>
  <si>
    <t>19386</t>
  </si>
  <si>
    <t>1933</t>
  </si>
  <si>
    <t>โรงงาน</t>
  </si>
  <si>
    <t>58695</t>
  </si>
  <si>
    <t>36253</t>
  </si>
  <si>
    <t>21354</t>
  </si>
  <si>
    <t>99510</t>
  </si>
  <si>
    <t>37040</t>
  </si>
  <si>
    <t>6356</t>
  </si>
  <si>
    <t>6355</t>
  </si>
  <si>
    <t>36276</t>
  </si>
  <si>
    <t>14131</t>
  </si>
  <si>
    <t>14689</t>
  </si>
  <si>
    <t>58030</t>
  </si>
  <si>
    <t>83057</t>
  </si>
  <si>
    <t>13799</t>
  </si>
  <si>
    <t>28484</t>
  </si>
  <si>
    <t>9352</t>
  </si>
  <si>
    <t>43439</t>
  </si>
  <si>
    <t>46291</t>
  </si>
  <si>
    <t>43290</t>
  </si>
  <si>
    <t>46470</t>
  </si>
  <si>
    <t>11677</t>
  </si>
  <si>
    <t>3353</t>
  </si>
  <si>
    <t>15787</t>
  </si>
  <si>
    <t>15166</t>
  </si>
  <si>
    <t>15167</t>
  </si>
  <si>
    <t>15168</t>
  </si>
  <si>
    <t>15790</t>
  </si>
  <si>
    <t>15791</t>
  </si>
  <si>
    <t>เซเว่นเช่า</t>
  </si>
  <si>
    <t>29902</t>
  </si>
  <si>
    <t>11898</t>
  </si>
  <si>
    <t>7895</t>
  </si>
  <si>
    <t>6802</t>
  </si>
  <si>
    <t>6801</t>
  </si>
  <si>
    <t>23/85</t>
  </si>
  <si>
    <t>25516</t>
  </si>
  <si>
    <t>25517</t>
  </si>
  <si>
    <t>25530</t>
  </si>
  <si>
    <t>5797</t>
  </si>
  <si>
    <t>21957</t>
  </si>
  <si>
    <t>32664</t>
  </si>
  <si>
    <t>25010</t>
  </si>
  <si>
    <t>44907</t>
  </si>
  <si>
    <t>5954</t>
  </si>
  <si>
    <t>58327</t>
  </si>
  <si>
    <t>25628</t>
  </si>
  <si>
    <t>21219</t>
  </si>
  <si>
    <t>32686</t>
  </si>
  <si>
    <t>100122</t>
  </si>
  <si>
    <t>39133</t>
  </si>
  <si>
    <t>34871</t>
  </si>
  <si>
    <t>5113</t>
  </si>
  <si>
    <t>5095</t>
  </si>
  <si>
    <t>5096</t>
  </si>
  <si>
    <t>87566</t>
  </si>
  <si>
    <t>87168</t>
  </si>
  <si>
    <t>23</t>
  </si>
  <si>
    <t>20795</t>
  </si>
  <si>
    <t>20796</t>
  </si>
  <si>
    <t>5477</t>
  </si>
  <si>
    <t>5476</t>
  </si>
  <si>
    <t>27105</t>
  </si>
  <si>
    <t>26853</t>
  </si>
  <si>
    <t>1694</t>
  </si>
  <si>
    <t>17231</t>
  </si>
  <si>
    <t>16868</t>
  </si>
  <si>
    <t>16292</t>
  </si>
  <si>
    <t>80249</t>
  </si>
  <si>
    <t>18991</t>
  </si>
  <si>
    <t>20509</t>
  </si>
  <si>
    <t>11/11</t>
  </si>
  <si>
    <t>49210</t>
  </si>
  <si>
    <t>57722</t>
  </si>
  <si>
    <t>ตึกแถว 10ห</t>
  </si>
  <si>
    <t>97214</t>
  </si>
  <si>
    <t>100691</t>
  </si>
  <si>
    <t>21257</t>
  </si>
  <si>
    <t>21256</t>
  </si>
  <si>
    <t>25523</t>
  </si>
  <si>
    <t>8248</t>
  </si>
  <si>
    <t>176</t>
  </si>
  <si>
    <t>37869</t>
  </si>
  <si>
    <t>9583</t>
  </si>
  <si>
    <t>8419</t>
  </si>
  <si>
    <t>28550</t>
  </si>
  <si>
    <t>53982</t>
  </si>
  <si>
    <t>25321</t>
  </si>
  <si>
    <t>25322</t>
  </si>
  <si>
    <t>25334</t>
  </si>
  <si>
    <t>25335</t>
  </si>
  <si>
    <t>7260</t>
  </si>
  <si>
    <t>27451</t>
  </si>
  <si>
    <t>34208</t>
  </si>
  <si>
    <t>34209</t>
  </si>
  <si>
    <t>23958</t>
  </si>
  <si>
    <t>37507</t>
  </si>
  <si>
    <t>92438</t>
  </si>
  <si>
    <t>4609</t>
  </si>
  <si>
    <t>4608</t>
  </si>
  <si>
    <t>ตึกแถว 6ห</t>
  </si>
  <si>
    <t>116129</t>
  </si>
  <si>
    <t>2257</t>
  </si>
  <si>
    <t>39084</t>
  </si>
  <si>
    <t>7870</t>
  </si>
  <si>
    <t>7872</t>
  </si>
  <si>
    <t>44778</t>
  </si>
  <si>
    <t>6067</t>
  </si>
  <si>
    <t>6068</t>
  </si>
  <si>
    <t>51303</t>
  </si>
  <si>
    <t>51302</t>
  </si>
  <si>
    <t>90918</t>
  </si>
  <si>
    <t>118269</t>
  </si>
  <si>
    <t>27800</t>
  </si>
  <si>
    <t>16327</t>
  </si>
  <si>
    <t>110449</t>
  </si>
  <si>
    <t>110451</t>
  </si>
  <si>
    <t>108077</t>
  </si>
  <si>
    <t>3965</t>
  </si>
  <si>
    <t>21515</t>
  </si>
  <si>
    <t>7712</t>
  </si>
  <si>
    <t>40803</t>
  </si>
  <si>
    <t>40802</t>
  </si>
  <si>
    <t>ตึกแถว 9ห</t>
  </si>
  <si>
    <t>3778</t>
  </si>
  <si>
    <t>97687</t>
  </si>
  <si>
    <t>108936</t>
  </si>
  <si>
    <t>ตึกแถว 5ห</t>
  </si>
  <si>
    <t>379</t>
  </si>
  <si>
    <t>34349</t>
  </si>
  <si>
    <t>5972</t>
  </si>
  <si>
    <t>5971</t>
  </si>
  <si>
    <t>11843</t>
  </si>
  <si>
    <t>6962</t>
  </si>
  <si>
    <t>12774</t>
  </si>
  <si>
    <t>6542</t>
  </si>
  <si>
    <t>13171</t>
  </si>
  <si>
    <t>13170</t>
  </si>
  <si>
    <t>13166</t>
  </si>
  <si>
    <t>13167</t>
  </si>
  <si>
    <t>13168</t>
  </si>
  <si>
    <t>13169</t>
  </si>
  <si>
    <t>4853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</si>
  <si>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</si>
  <si>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</si>
  <si>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</si>
  <si>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</si>
  <si>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</si>
  <si>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</si>
  <si>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</si>
  <si>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</si>
  <si>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</si>
  <si>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</si>
  <si>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</si>
  <si>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</si>
  <si>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</si>
  <si>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</si>
  <si>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</si>
  <si>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</si>
  <si>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</si>
  <si>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</si>
  <si>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5869</t>
  </si>
  <si>
    <t>5870</t>
  </si>
  <si>
    <t>5871</t>
  </si>
  <si>
    <t>5874</t>
  </si>
  <si>
    <t>5875</t>
  </si>
  <si>
    <t>5876</t>
  </si>
  <si>
    <t>5877</t>
  </si>
  <si>
    <t>5899</t>
  </si>
  <si>
    <t>5878</t>
  </si>
  <si>
    <t>5879</t>
  </si>
  <si>
    <t>5880</t>
  </si>
  <si>
    <t>5881</t>
  </si>
  <si>
    <t>5884</t>
  </si>
  <si>
    <t>5885</t>
  </si>
  <si>
    <t>5886</t>
  </si>
  <si>
    <t>5895</t>
  </si>
  <si>
    <t>5757</t>
  </si>
  <si>
    <t>5756</t>
  </si>
  <si>
    <t>5755</t>
  </si>
  <si>
    <t>5754</t>
  </si>
  <si>
    <t>5753</t>
  </si>
  <si>
    <t>5751</t>
  </si>
  <si>
    <t>5750</t>
  </si>
  <si>
    <t>25386</t>
  </si>
  <si>
    <t>43551</t>
  </si>
  <si>
    <t>34679</t>
  </si>
  <si>
    <t>62190</t>
  </si>
  <si>
    <t>46869</t>
  </si>
  <si>
    <t>48863</t>
  </si>
  <si>
    <t>88862</t>
  </si>
  <si>
    <t>154</t>
  </si>
  <si>
    <t>7202</t>
  </si>
  <si>
    <t>7586</t>
  </si>
  <si>
    <t>4566</t>
  </si>
  <si>
    <t>1178</t>
  </si>
  <si>
    <t>52995</t>
  </si>
  <si>
    <t>52990</t>
  </si>
  <si>
    <t>120907</t>
  </si>
  <si>
    <t>9634</t>
  </si>
  <si>
    <t>52994</t>
  </si>
  <si>
    <t>15271</t>
  </si>
  <si>
    <t>15272</t>
  </si>
  <si>
    <t>21403</t>
  </si>
  <si>
    <t>54265</t>
  </si>
  <si>
    <t>35792</t>
  </si>
  <si>
    <t>31326</t>
  </si>
  <si>
    <t>108899</t>
  </si>
  <si>
    <t>108897</t>
  </si>
  <si>
    <t>108898</t>
  </si>
  <si>
    <t>4184</t>
  </si>
  <si>
    <t>82536</t>
  </si>
  <si>
    <t>66474</t>
  </si>
  <si>
    <t>97678</t>
  </si>
  <si>
    <t>120630</t>
  </si>
  <si>
    <t>120631</t>
  </si>
  <si>
    <t>120629</t>
  </si>
  <si>
    <t>21674</t>
  </si>
  <si>
    <t>21675</t>
  </si>
  <si>
    <t>21682</t>
  </si>
  <si>
    <t>21683</t>
  </si>
  <si>
    <t>21684</t>
  </si>
  <si>
    <t>21685</t>
  </si>
  <si>
    <t>14256</t>
  </si>
  <si>
    <t>5502</t>
  </si>
  <si>
    <t>1145</t>
  </si>
  <si>
    <t>757</t>
  </si>
  <si>
    <t>34933</t>
  </si>
  <si>
    <t>8574</t>
  </si>
  <si>
    <t>73810</t>
  </si>
  <si>
    <t>73809</t>
  </si>
  <si>
    <t>48807</t>
  </si>
  <si>
    <t>77707</t>
  </si>
  <si>
    <t>61511</t>
  </si>
  <si>
    <t>9931</t>
  </si>
  <si>
    <t>9939</t>
  </si>
  <si>
    <t>40637</t>
  </si>
  <si>
    <t>47277</t>
  </si>
  <si>
    <t>47276</t>
  </si>
  <si>
    <t>8273</t>
  </si>
  <si>
    <t>30034</t>
  </si>
  <si>
    <t>12646</t>
  </si>
  <si>
    <t>12243</t>
  </si>
  <si>
    <t>6249</t>
  </si>
  <si>
    <t>33560</t>
  </si>
  <si>
    <t>45195</t>
  </si>
  <si>
    <t>3327</t>
  </si>
  <si>
    <t>14501</t>
  </si>
  <si>
    <t>14508</t>
  </si>
  <si>
    <t>14509</t>
  </si>
  <si>
    <t>20372</t>
  </si>
  <si>
    <t>1570</t>
  </si>
  <si>
    <t>3683</t>
  </si>
  <si>
    <t>42299</t>
  </si>
  <si>
    <t>42300</t>
  </si>
  <si>
    <t>42301</t>
  </si>
  <si>
    <t>42302</t>
  </si>
  <si>
    <t>42303</t>
  </si>
  <si>
    <t>42304</t>
  </si>
  <si>
    <t>38020</t>
  </si>
  <si>
    <t>20786</t>
  </si>
  <si>
    <t>31912</t>
  </si>
  <si>
    <t>18683</t>
  </si>
  <si>
    <t>15994</t>
  </si>
  <si>
    <t>6024</t>
  </si>
  <si>
    <t>เช่าที่</t>
  </si>
  <si>
    <t>1463</t>
  </si>
  <si>
    <t>117427</t>
  </si>
  <si>
    <t>117428</t>
  </si>
  <si>
    <t>ห้องแถว 2ห</t>
  </si>
  <si>
    <t>80172</t>
  </si>
  <si>
    <t>47681</t>
  </si>
  <si>
    <t>29149</t>
  </si>
  <si>
    <t>40621</t>
  </si>
  <si>
    <t>65939</t>
  </si>
  <si>
    <t>26508</t>
  </si>
  <si>
    <t>8583</t>
  </si>
  <si>
    <t>69999</t>
  </si>
  <si>
    <t>40810</t>
  </si>
  <si>
    <t>2659</t>
  </si>
  <si>
    <t>63113</t>
  </si>
  <si>
    <t>74429</t>
  </si>
  <si>
    <t>63062</t>
  </si>
  <si>
    <t>49754</t>
  </si>
  <si>
    <t>32033</t>
  </si>
  <si>
    <t>62839</t>
  </si>
  <si>
    <t>62857</t>
  </si>
  <si>
    <t>62858</t>
  </si>
  <si>
    <t>33/93</t>
  </si>
  <si>
    <t>16423</t>
  </si>
  <si>
    <t>16422</t>
  </si>
  <si>
    <t>16424</t>
  </si>
  <si>
    <t>16425</t>
  </si>
  <si>
    <t>16426</t>
  </si>
  <si>
    <t>16427</t>
  </si>
  <si>
    <t>33674</t>
  </si>
  <si>
    <t>สเวนเซ่นเช่า</t>
  </si>
  <si>
    <t>57807</t>
  </si>
  <si>
    <t>ร้านเฟอร์นิเจอร์</t>
  </si>
  <si>
    <t>บ้านพักคนงาน</t>
  </si>
  <si>
    <t>ออฟฟิค</t>
  </si>
  <si>
    <t>ร้านทำเบาะ</t>
  </si>
  <si>
    <t>ร้านข้าวมันไก่</t>
  </si>
  <si>
    <t>ห้องแถว 14ห</t>
  </si>
  <si>
    <t>บ้านแก้ว</t>
  </si>
  <si>
    <t>เลี้ยงนก</t>
  </si>
  <si>
    <t>ห้องแถว 12ห</t>
  </si>
  <si>
    <t>ไอสลีปโฮเตล</t>
  </si>
  <si>
    <t>หน้า</t>
  </si>
  <si>
    <t>สถานที่ตั้ง</t>
  </si>
  <si>
    <t>สำรวจ</t>
  </si>
  <si>
    <t>การใช้</t>
  </si>
  <si>
    <t>ตาม ทบบ.</t>
  </si>
  <si>
    <t>มะขามเตี้ย</t>
  </si>
  <si>
    <t>ตลาด</t>
  </si>
  <si>
    <t>บางกุ้ง</t>
  </si>
  <si>
    <t>บางใบไม้</t>
  </si>
  <si>
    <t>คลองฉนาก</t>
  </si>
  <si>
    <t>บางชนะ</t>
  </si>
  <si>
    <t>9576</t>
  </si>
  <si>
    <t>3899</t>
  </si>
  <si>
    <t>4041</t>
  </si>
  <si>
    <t>4444</t>
  </si>
  <si>
    <t>1203</t>
  </si>
  <si>
    <t>3606</t>
  </si>
  <si>
    <t>4116</t>
  </si>
  <si>
    <t>2311</t>
  </si>
  <si>
    <t>49671</t>
  </si>
  <si>
    <t>49509</t>
  </si>
  <si>
    <t>25033</t>
  </si>
  <si>
    <t>19922</t>
  </si>
  <si>
    <t>4347</t>
  </si>
  <si>
    <t>32328</t>
  </si>
  <si>
    <t>40809</t>
  </si>
  <si>
    <t>19254</t>
  </si>
  <si>
    <t>4438</t>
  </si>
  <si>
    <t>57392</t>
  </si>
  <si>
    <t>57393</t>
  </si>
  <si>
    <t>44436</t>
  </si>
  <si>
    <t>4443</t>
  </si>
  <si>
    <t>2631</t>
  </si>
  <si>
    <t>11224</t>
  </si>
  <si>
    <t>11267</t>
  </si>
  <si>
    <t>12237</t>
  </si>
  <si>
    <t>21787</t>
  </si>
  <si>
    <t>7115</t>
  </si>
  <si>
    <t>5072</t>
  </si>
  <si>
    <t>5071</t>
  </si>
  <si>
    <t>5070</t>
  </si>
  <si>
    <t>5066</t>
  </si>
  <si>
    <t>5770</t>
  </si>
  <si>
    <t>5771</t>
  </si>
  <si>
    <t>5772</t>
  </si>
  <si>
    <t>26108</t>
  </si>
  <si>
    <t>14632</t>
  </si>
  <si>
    <t>3138</t>
  </si>
  <si>
    <t>6961</t>
  </si>
  <si>
    <t>58459</t>
  </si>
  <si>
    <t>4075</t>
  </si>
  <si>
    <t>13608</t>
  </si>
  <si>
    <t>22183</t>
  </si>
  <si>
    <t>22184</t>
  </si>
  <si>
    <t>8352</t>
  </si>
  <si>
    <t>8353</t>
  </si>
  <si>
    <t>8601</t>
  </si>
  <si>
    <t>15502</t>
  </si>
  <si>
    <t>280</t>
  </si>
  <si>
    <t>4323</t>
  </si>
  <si>
    <t>4317</t>
  </si>
  <si>
    <t>4318</t>
  </si>
  <si>
    <t>4319</t>
  </si>
  <si>
    <t>4320</t>
  </si>
  <si>
    <t>4321</t>
  </si>
  <si>
    <t>4322</t>
  </si>
  <si>
    <t>4324</t>
  </si>
  <si>
    <t>4325</t>
  </si>
  <si>
    <t>4326</t>
  </si>
  <si>
    <t>4327</t>
  </si>
  <si>
    <t>4328</t>
  </si>
  <si>
    <t>7</t>
  </si>
  <si>
    <t>34172</t>
  </si>
  <si>
    <t>21349</t>
  </si>
  <si>
    <t>11201</t>
  </si>
  <si>
    <t>5057</t>
  </si>
  <si>
    <t>21793</t>
  </si>
  <si>
    <t>522</t>
  </si>
  <si>
    <t>3949</t>
  </si>
  <si>
    <t>3948</t>
  </si>
  <si>
    <t>3791</t>
  </si>
  <si>
    <t>2692</t>
  </si>
  <si>
    <t>คลินิก</t>
  </si>
  <si>
    <t>2847</t>
  </si>
  <si>
    <t>33144</t>
  </si>
  <si>
    <t>45158</t>
  </si>
  <si>
    <t>7164</t>
  </si>
  <si>
    <t>3539</t>
  </si>
  <si>
    <t>1258</t>
  </si>
  <si>
    <t>9200</t>
  </si>
  <si>
    <t>9831</t>
  </si>
  <si>
    <t>9830</t>
  </si>
  <si>
    <t>9874</t>
  </si>
  <si>
    <t>2347</t>
  </si>
  <si>
    <t>1439</t>
  </si>
  <si>
    <t>7889</t>
  </si>
  <si>
    <t>7721</t>
  </si>
  <si>
    <t>7322</t>
  </si>
  <si>
    <t>7323</t>
  </si>
  <si>
    <t>7892</t>
  </si>
  <si>
    <t>7893</t>
  </si>
  <si>
    <t>15771</t>
  </si>
  <si>
    <t>6381</t>
  </si>
  <si>
    <t>5190</t>
  </si>
  <si>
    <t>ให้เช่าที่ดิน</t>
  </si>
  <si>
    <t>4365</t>
  </si>
  <si>
    <t>4364</t>
  </si>
  <si>
    <t>15419</t>
  </si>
  <si>
    <t>15420</t>
  </si>
  <si>
    <t>15433</t>
  </si>
  <si>
    <t>3526</t>
  </si>
  <si>
    <t>12164</t>
  </si>
  <si>
    <t>18839</t>
  </si>
  <si>
    <t>3293</t>
  </si>
  <si>
    <t>26435</t>
  </si>
  <si>
    <t>3676</t>
  </si>
  <si>
    <t>33363</t>
  </si>
  <si>
    <t>4777</t>
  </si>
  <si>
    <t>4776</t>
  </si>
  <si>
    <t>52756</t>
  </si>
  <si>
    <t>22760</t>
  </si>
  <si>
    <t>20183</t>
  </si>
  <si>
    <t>2966</t>
  </si>
  <si>
    <t>2948</t>
  </si>
  <si>
    <t>2949</t>
  </si>
  <si>
    <t>1798</t>
  </si>
  <si>
    <t>1763</t>
  </si>
  <si>
    <t>36</t>
  </si>
  <si>
    <t>10371</t>
  </si>
  <si>
    <t>3283</t>
  </si>
  <si>
    <t>3282</t>
  </si>
  <si>
    <t>15872</t>
  </si>
  <si>
    <t>16307</t>
  </si>
  <si>
    <t>1007</t>
  </si>
  <si>
    <t>8279</t>
  </si>
  <si>
    <t>8067</t>
  </si>
  <si>
    <t>43331</t>
  </si>
  <si>
    <t>9276</t>
  </si>
  <si>
    <t>10099</t>
  </si>
  <si>
    <t>28418</t>
  </si>
  <si>
    <t>32680</t>
  </si>
  <si>
    <t>973</t>
  </si>
  <si>
    <t>52977</t>
  </si>
  <si>
    <t>15426</t>
  </si>
  <si>
    <t>5205</t>
  </si>
  <si>
    <t>179</t>
  </si>
  <si>
    <t>3983</t>
  </si>
  <si>
    <t>889</t>
  </si>
  <si>
    <t>1507</t>
  </si>
  <si>
    <t>5997</t>
  </si>
  <si>
    <t>31291</t>
  </si>
  <si>
    <t>14978</t>
  </si>
  <si>
    <t>14979</t>
  </si>
  <si>
    <t>14991</t>
  </si>
  <si>
    <t>14992</t>
  </si>
  <si>
    <t>4657</t>
  </si>
  <si>
    <t>13630</t>
  </si>
  <si>
    <t>20156</t>
  </si>
  <si>
    <t>13729</t>
  </si>
  <si>
    <t>22091</t>
  </si>
  <si>
    <t>50066</t>
  </si>
  <si>
    <t>2721</t>
  </si>
  <si>
    <t>2720</t>
  </si>
  <si>
    <t>19754</t>
  </si>
  <si>
    <t>1148</t>
  </si>
  <si>
    <t>22043</t>
  </si>
  <si>
    <t>5165</t>
  </si>
  <si>
    <t>5167</t>
  </si>
  <si>
    <t>3567</t>
  </si>
  <si>
    <t>3765</t>
  </si>
  <si>
    <t>3766</t>
  </si>
  <si>
    <t>10811</t>
  </si>
  <si>
    <t>10810</t>
  </si>
  <si>
    <t>49418</t>
  </si>
  <si>
    <t>19898</t>
  </si>
  <si>
    <t>15931</t>
  </si>
  <si>
    <t>8102</t>
  </si>
  <si>
    <t>57315</t>
  </si>
  <si>
    <t>57317</t>
  </si>
  <si>
    <t>55895</t>
  </si>
  <si>
    <t>2231</t>
  </si>
  <si>
    <t>4821</t>
  </si>
  <si>
    <t>5296</t>
  </si>
  <si>
    <t>23442</t>
  </si>
  <si>
    <t>23441</t>
  </si>
  <si>
    <t>2116</t>
  </si>
  <si>
    <t>51936</t>
  </si>
  <si>
    <t>56946</t>
  </si>
  <si>
    <t>494</t>
  </si>
  <si>
    <t>20279</t>
  </si>
  <si>
    <t>3693</t>
  </si>
  <si>
    <t>3692</t>
  </si>
  <si>
    <t>6345</t>
  </si>
  <si>
    <t>4445</t>
  </si>
  <si>
    <t>6748</t>
  </si>
  <si>
    <t>4114</t>
  </si>
  <si>
    <t>6875</t>
  </si>
  <si>
    <t>6874</t>
  </si>
  <si>
    <t>6870</t>
  </si>
  <si>
    <t>6871</t>
  </si>
  <si>
    <t>6872</t>
  </si>
  <si>
    <t>6873</t>
  </si>
  <si>
    <t>2911</t>
  </si>
  <si>
    <t>3569</t>
  </si>
  <si>
    <t>3570</t>
  </si>
  <si>
    <t>3571</t>
  </si>
  <si>
    <t>3572</t>
  </si>
  <si>
    <t>3573</t>
  </si>
  <si>
    <t>3547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</si>
  <si>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</si>
  <si>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</si>
  <si>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</si>
  <si>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</si>
  <si>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</si>
  <si>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</si>
  <si>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</si>
  <si>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</si>
  <si>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</si>
  <si>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</si>
  <si>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</si>
  <si>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</si>
  <si>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3596</t>
  </si>
  <si>
    <t>3597</t>
  </si>
  <si>
    <t>3598</t>
  </si>
  <si>
    <t>3601</t>
  </si>
  <si>
    <t>3602</t>
  </si>
  <si>
    <t>3603</t>
  </si>
  <si>
    <t>3604</t>
  </si>
  <si>
    <t>3626</t>
  </si>
  <si>
    <t>3605</t>
  </si>
  <si>
    <t>3607</t>
  </si>
  <si>
    <t>3608</t>
  </si>
  <si>
    <t>3611</t>
  </si>
  <si>
    <t>9612</t>
  </si>
  <si>
    <t>3613</t>
  </si>
  <si>
    <t>3622</t>
  </si>
  <si>
    <t>3486</t>
  </si>
  <si>
    <t>3485</t>
  </si>
  <si>
    <t>3484</t>
  </si>
  <si>
    <t>3483</t>
  </si>
  <si>
    <t>3482</t>
  </si>
  <si>
    <t>3480</t>
  </si>
  <si>
    <t>3479</t>
  </si>
  <si>
    <t>14586</t>
  </si>
  <si>
    <t>24596</t>
  </si>
  <si>
    <t>20357</t>
  </si>
  <si>
    <t>35730</t>
  </si>
  <si>
    <t>933</t>
  </si>
  <si>
    <t>25067</t>
  </si>
  <si>
    <t>18062</t>
  </si>
  <si>
    <t>22372</t>
  </si>
  <si>
    <t>3554</t>
  </si>
  <si>
    <t>3555</t>
  </si>
  <si>
    <t>3953</t>
  </si>
  <si>
    <t>452</t>
  </si>
  <si>
    <t>28172</t>
  </si>
  <si>
    <t>4627</t>
  </si>
  <si>
    <t>13903</t>
  </si>
  <si>
    <t>7518</t>
  </si>
  <si>
    <t>26964</t>
  </si>
  <si>
    <t>26965</t>
  </si>
  <si>
    <t>14125</t>
  </si>
  <si>
    <t>14124</t>
  </si>
  <si>
    <t>4540</t>
  </si>
  <si>
    <t>51269</t>
  </si>
  <si>
    <t>23937</t>
  </si>
  <si>
    <t>31052</t>
  </si>
  <si>
    <t>26992</t>
  </si>
  <si>
    <t>9513</t>
  </si>
  <si>
    <t>22</t>
  </si>
  <si>
    <t>1232</t>
  </si>
  <si>
    <t>ร้านหน้าซอย</t>
  </si>
  <si>
    <t>37777</t>
  </si>
  <si>
    <t>48659</t>
  </si>
  <si>
    <t>1874</t>
  </si>
  <si>
    <t>1873</t>
  </si>
  <si>
    <t>600</t>
  </si>
  <si>
    <t>ธนชาติเช่าที่</t>
  </si>
  <si>
    <t>27241</t>
  </si>
  <si>
    <t>27250</t>
  </si>
  <si>
    <t>48722</t>
  </si>
  <si>
    <t>172</t>
  </si>
  <si>
    <t>4601</t>
  </si>
  <si>
    <t>5442</t>
  </si>
  <si>
    <t>11155</t>
  </si>
  <si>
    <t>11160</t>
  </si>
  <si>
    <t>20086</t>
  </si>
  <si>
    <t>1140</t>
  </si>
  <si>
    <t>11159</t>
  </si>
  <si>
    <t>3210</t>
  </si>
  <si>
    <t>3211</t>
  </si>
  <si>
    <t>11658</t>
  </si>
  <si>
    <t>31563</t>
  </si>
  <si>
    <t>6848</t>
  </si>
  <si>
    <t>16445</t>
  </si>
  <si>
    <t>56918</t>
  </si>
  <si>
    <t>56919</t>
  </si>
  <si>
    <t>56920</t>
  </si>
  <si>
    <t>2433</t>
  </si>
  <si>
    <t>44809</t>
  </si>
  <si>
    <t>37905</t>
  </si>
  <si>
    <t>17623</t>
  </si>
  <si>
    <t>17625</t>
  </si>
  <si>
    <t>17626</t>
  </si>
  <si>
    <t>17624</t>
  </si>
  <si>
    <t>11977</t>
  </si>
  <si>
    <t>11978</t>
  </si>
  <si>
    <t>11985</t>
  </si>
  <si>
    <t>11986</t>
  </si>
  <si>
    <t>11987</t>
  </si>
  <si>
    <t>11988</t>
  </si>
  <si>
    <t>2912</t>
  </si>
  <si>
    <t>3304</t>
  </si>
  <si>
    <t>219</t>
  </si>
  <si>
    <t>483</t>
  </si>
  <si>
    <t>3810</t>
  </si>
  <si>
    <t>1402</t>
  </si>
  <si>
    <t>41113</t>
  </si>
  <si>
    <t>41112</t>
  </si>
  <si>
    <t>28276</t>
  </si>
  <si>
    <t>41540</t>
  </si>
  <si>
    <t>34549</t>
  </si>
  <si>
    <t>989</t>
  </si>
  <si>
    <t>997</t>
  </si>
  <si>
    <t>8720</t>
  </si>
  <si>
    <t>9946</t>
  </si>
  <si>
    <t>9945</t>
  </si>
  <si>
    <t>5233</t>
  </si>
  <si>
    <t>17359</t>
  </si>
  <si>
    <t>6714</t>
  </si>
  <si>
    <t>6525</t>
  </si>
  <si>
    <t>3889</t>
  </si>
  <si>
    <t>19663</t>
  </si>
  <si>
    <t>26440</t>
  </si>
  <si>
    <t>1784</t>
  </si>
  <si>
    <t>7292</t>
  </si>
  <si>
    <t>7299</t>
  </si>
  <si>
    <t>7300</t>
  </si>
  <si>
    <t>10757</t>
  </si>
  <si>
    <t>846</t>
  </si>
  <si>
    <t>2051</t>
  </si>
  <si>
    <t>24759</t>
  </si>
  <si>
    <t>24760</t>
  </si>
  <si>
    <t>24761</t>
  </si>
  <si>
    <t>24762</t>
  </si>
  <si>
    <t>24763</t>
  </si>
  <si>
    <t>24764</t>
  </si>
  <si>
    <t>22368</t>
  </si>
  <si>
    <t>11051</t>
  </si>
  <si>
    <t>18392</t>
  </si>
  <si>
    <t>9997</t>
  </si>
  <si>
    <t>7846</t>
  </si>
  <si>
    <t>710</t>
  </si>
  <si>
    <t>59464</t>
  </si>
  <si>
    <t>59465</t>
  </si>
  <si>
    <t>43253</t>
  </si>
  <si>
    <t>27935</t>
  </si>
  <si>
    <t>13965</t>
  </si>
  <si>
    <t>23459</t>
  </si>
  <si>
    <t>37617</t>
  </si>
  <si>
    <t>13391</t>
  </si>
  <si>
    <t>5357</t>
  </si>
  <si>
    <t>4691</t>
  </si>
  <si>
    <t>23474</t>
  </si>
  <si>
    <t>1283</t>
  </si>
  <si>
    <t>36700</t>
  </si>
  <si>
    <t>41221</t>
  </si>
  <si>
    <t>36734</t>
  </si>
  <si>
    <t>28472</t>
  </si>
  <si>
    <t>18660</t>
  </si>
  <si>
    <t>4513</t>
  </si>
  <si>
    <t>4531</t>
  </si>
  <si>
    <t>4532</t>
  </si>
  <si>
    <t>3749</t>
  </si>
  <si>
    <t>3750</t>
  </si>
  <si>
    <t>3751</t>
  </si>
  <si>
    <t>3752</t>
  </si>
  <si>
    <t>3753</t>
  </si>
  <si>
    <t>12334</t>
  </si>
  <si>
    <t>106</t>
  </si>
  <si>
    <t>11916</t>
  </si>
  <si>
    <t>15849</t>
  </si>
  <si>
    <t>42798</t>
  </si>
  <si>
    <t>50760</t>
  </si>
  <si>
    <t>38585</t>
  </si>
  <si>
    <t>11200</t>
  </si>
  <si>
    <t>47823</t>
  </si>
  <si>
    <t>1216</t>
  </si>
  <si>
    <t>1217</t>
  </si>
  <si>
    <t>1218</t>
  </si>
  <si>
    <t>1223</t>
  </si>
  <si>
    <t>1224</t>
  </si>
  <si>
    <t>3843</t>
  </si>
  <si>
    <t>32017</t>
  </si>
  <si>
    <t>1566</t>
  </si>
  <si>
    <t>38794</t>
  </si>
  <si>
    <t>309</t>
  </si>
  <si>
    <t>7340</t>
  </si>
  <si>
    <t>2280</t>
  </si>
  <si>
    <t>19086</t>
  </si>
  <si>
    <t>51387</t>
  </si>
  <si>
    <t>19645</t>
  </si>
  <si>
    <t>10486</t>
  </si>
  <si>
    <t>10485</t>
  </si>
  <si>
    <t>14373</t>
  </si>
  <si>
    <t>14538</t>
  </si>
  <si>
    <t>59</t>
  </si>
  <si>
    <t>40364</t>
  </si>
  <si>
    <t>31483</t>
  </si>
  <si>
    <t>10795</t>
  </si>
  <si>
    <t>31203</t>
  </si>
  <si>
    <t>21859</t>
  </si>
  <si>
    <t>2089</t>
  </si>
  <si>
    <t>7402</t>
  </si>
  <si>
    <t>1357</t>
  </si>
  <si>
    <t>38027</t>
  </si>
  <si>
    <t>49973</t>
  </si>
  <si>
    <t>49972</t>
  </si>
  <si>
    <t>20265</t>
  </si>
  <si>
    <t>35345</t>
  </si>
  <si>
    <t>17209</t>
  </si>
  <si>
    <t>6489</t>
  </si>
  <si>
    <t>8909</t>
  </si>
  <si>
    <t>3727</t>
  </si>
  <si>
    <t>7391</t>
  </si>
  <si>
    <t>7390</t>
  </si>
  <si>
    <t>7389</t>
  </si>
  <si>
    <t>10836</t>
  </si>
  <si>
    <t>23885</t>
  </si>
  <si>
    <t>1176</t>
  </si>
  <si>
    <t>415</t>
  </si>
  <si>
    <t>419</t>
  </si>
  <si>
    <t>3641</t>
  </si>
  <si>
    <t>3642</t>
  </si>
  <si>
    <t>57936</t>
  </si>
  <si>
    <t>58069</t>
  </si>
  <si>
    <t>2818</t>
  </si>
  <si>
    <t>2816</t>
  </si>
  <si>
    <t>1193</t>
  </si>
  <si>
    <t>1192</t>
  </si>
  <si>
    <t>175</t>
  </si>
  <si>
    <t>10522</t>
  </si>
  <si>
    <t>26</t>
  </si>
  <si>
    <t>24</t>
  </si>
  <si>
    <t>12</t>
  </si>
  <si>
    <t>44</t>
  </si>
  <si>
    <t>7185</t>
  </si>
  <si>
    <t>59697</t>
  </si>
  <si>
    <t>59690</t>
  </si>
  <si>
    <t>59696</t>
  </si>
  <si>
    <t>41468</t>
  </si>
  <si>
    <t>38103</t>
  </si>
  <si>
    <t>6207</t>
  </si>
  <si>
    <t>4124</t>
  </si>
  <si>
    <t>936</t>
  </si>
  <si>
    <t>49459</t>
  </si>
  <si>
    <t>9666</t>
  </si>
  <si>
    <t>3946</t>
  </si>
  <si>
    <t>9168</t>
  </si>
  <si>
    <t>9962</t>
  </si>
  <si>
    <t>9642</t>
  </si>
  <si>
    <t>11192</t>
  </si>
  <si>
    <t>9663</t>
  </si>
  <si>
    <t>16000</t>
  </si>
  <si>
    <t>451</t>
  </si>
  <si>
    <t>9643</t>
  </si>
  <si>
    <t>441</t>
  </si>
  <si>
    <t>49536</t>
  </si>
  <si>
    <t>50008</t>
  </si>
  <si>
    <t>51016</t>
  </si>
  <si>
    <t>51015</t>
  </si>
  <si>
    <t>158</t>
  </si>
  <si>
    <t>1264</t>
  </si>
  <si>
    <t>1265</t>
  </si>
  <si>
    <t>1266</t>
  </si>
  <si>
    <t>1267</t>
  </si>
  <si>
    <t>1269</t>
  </si>
  <si>
    <t>1268</t>
  </si>
  <si>
    <t>1270</t>
  </si>
  <si>
    <t>10723</t>
  </si>
  <si>
    <t>18377</t>
  </si>
  <si>
    <t>31762</t>
  </si>
  <si>
    <t>2970</t>
  </si>
  <si>
    <t>18378</t>
  </si>
  <si>
    <t>22265</t>
  </si>
  <si>
    <t>22268</t>
  </si>
  <si>
    <t>22267</t>
  </si>
  <si>
    <t>22266</t>
  </si>
  <si>
    <t>495</t>
  </si>
  <si>
    <t>23147</t>
  </si>
  <si>
    <t>15062</t>
  </si>
  <si>
    <t>15063</t>
  </si>
  <si>
    <t>3659</t>
  </si>
  <si>
    <t>47819</t>
  </si>
  <si>
    <t>7152</t>
  </si>
  <si>
    <t>16025</t>
  </si>
  <si>
    <t>36474</t>
  </si>
  <si>
    <t>27843</t>
  </si>
  <si>
    <t>1087</t>
  </si>
  <si>
    <t>3212</t>
  </si>
  <si>
    <t>8332</t>
  </si>
  <si>
    <t>11122</t>
  </si>
  <si>
    <t>8943</t>
  </si>
  <si>
    <t>17969</t>
  </si>
  <si>
    <t>19725</t>
  </si>
  <si>
    <t>19668</t>
  </si>
  <si>
    <t>19669</t>
  </si>
  <si>
    <t>12622</t>
  </si>
  <si>
    <t>10744</t>
  </si>
  <si>
    <t>20557</t>
  </si>
  <si>
    <t>27582</t>
  </si>
  <si>
    <t>6719</t>
  </si>
  <si>
    <t>6526</t>
  </si>
  <si>
    <t>811</t>
  </si>
  <si>
    <t>730</t>
  </si>
  <si>
    <t>729</t>
  </si>
  <si>
    <t>728</t>
  </si>
  <si>
    <t>734</t>
  </si>
  <si>
    <t>731</t>
  </si>
  <si>
    <t>733</t>
  </si>
  <si>
    <t>732</t>
  </si>
  <si>
    <t>804</t>
  </si>
  <si>
    <t>5090</t>
  </si>
  <si>
    <t>7451</t>
  </si>
  <si>
    <t>1189</t>
  </si>
  <si>
    <t>19783</t>
  </si>
  <si>
    <t>20</t>
  </si>
  <si>
    <t>4393</t>
  </si>
  <si>
    <t>4392</t>
  </si>
  <si>
    <t>4391</t>
  </si>
  <si>
    <t>4394</t>
  </si>
  <si>
    <t>4396</t>
  </si>
  <si>
    <t>4395</t>
  </si>
  <si>
    <t>5905</t>
  </si>
  <si>
    <t>5124</t>
  </si>
  <si>
    <t>3260</t>
  </si>
  <si>
    <t>1226</t>
  </si>
  <si>
    <t>1057</t>
  </si>
  <si>
    <t>53576</t>
  </si>
  <si>
    <t>11946</t>
  </si>
  <si>
    <t>11945</t>
  </si>
  <si>
    <t>11944</t>
  </si>
  <si>
    <t>11943</t>
  </si>
  <si>
    <t>1234</t>
  </si>
  <si>
    <t>1760</t>
  </si>
  <si>
    <t>1759</t>
  </si>
  <si>
    <t>2300</t>
  </si>
  <si>
    <t>8941</t>
  </si>
  <si>
    <t>1758</t>
  </si>
  <si>
    <t>1499</t>
  </si>
  <si>
    <t>259</t>
  </si>
  <si>
    <t>3499</t>
  </si>
  <si>
    <t>45087</t>
  </si>
  <si>
    <t>8550</t>
  </si>
  <si>
    <t>43789</t>
  </si>
  <si>
    <t>37430</t>
  </si>
  <si>
    <t>575</t>
  </si>
  <si>
    <t>1073</t>
  </si>
  <si>
    <t>5242</t>
  </si>
  <si>
    <t>1859</t>
  </si>
  <si>
    <t>1259</t>
  </si>
  <si>
    <t>30174</t>
  </si>
  <si>
    <t>847</t>
  </si>
  <si>
    <t>25498</t>
  </si>
  <si>
    <t>10207</t>
  </si>
  <si>
    <t>9857</t>
  </si>
  <si>
    <t>44430</t>
  </si>
  <si>
    <t>55519</t>
  </si>
  <si>
    <t>57558</t>
  </si>
  <si>
    <t>58848</t>
  </si>
  <si>
    <t>4631</t>
  </si>
  <si>
    <t>4632</t>
  </si>
  <si>
    <t>6465</t>
  </si>
  <si>
    <t>13457</t>
  </si>
  <si>
    <t>6080</t>
  </si>
  <si>
    <t>3186</t>
  </si>
  <si>
    <t>44199</t>
  </si>
  <si>
    <t>44200</t>
  </si>
  <si>
    <t>6444</t>
  </si>
  <si>
    <t>9396</t>
  </si>
  <si>
    <t>5860</t>
  </si>
  <si>
    <t>2117</t>
  </si>
  <si>
    <t>25661</t>
  </si>
  <si>
    <t>18343</t>
  </si>
  <si>
    <t>31204</t>
  </si>
  <si>
    <t>60787</t>
  </si>
  <si>
    <t>60788</t>
  </si>
  <si>
    <t>22930</t>
  </si>
  <si>
    <t>3452</t>
  </si>
  <si>
    <t>27147</t>
  </si>
  <si>
    <t>19900</t>
  </si>
  <si>
    <t>15870</t>
  </si>
  <si>
    <t>18733</t>
  </si>
  <si>
    <t>19434</t>
  </si>
  <si>
    <t>19432</t>
  </si>
  <si>
    <t>9318</t>
  </si>
  <si>
    <t>46233</t>
  </si>
  <si>
    <t>2468</t>
  </si>
  <si>
    <t>2467</t>
  </si>
  <si>
    <t>2466</t>
  </si>
  <si>
    <t>51023</t>
  </si>
  <si>
    <t>51322</t>
  </si>
  <si>
    <t>59613</t>
  </si>
  <si>
    <t>59457</t>
  </si>
  <si>
    <t>59445</t>
  </si>
  <si>
    <t>56916</t>
  </si>
  <si>
    <t>56915</t>
  </si>
  <si>
    <t>56910</t>
  </si>
  <si>
    <t>58731</t>
  </si>
  <si>
    <t>58723</t>
  </si>
  <si>
    <t>56966</t>
  </si>
  <si>
    <t>23319</t>
  </si>
  <si>
    <t>23705</t>
  </si>
  <si>
    <t>23704</t>
  </si>
  <si>
    <t>19787</t>
  </si>
  <si>
    <t>11098</t>
  </si>
  <si>
    <t>12779</t>
  </si>
  <si>
    <t>43270</t>
  </si>
  <si>
    <t>28952</t>
  </si>
  <si>
    <t>59358</t>
  </si>
  <si>
    <t>9531</t>
  </si>
  <si>
    <t>29594</t>
  </si>
  <si>
    <t>26601</t>
  </si>
  <si>
    <t>15102</t>
  </si>
  <si>
    <t>32641</t>
  </si>
  <si>
    <t>35703</t>
  </si>
  <si>
    <t>45930</t>
  </si>
  <si>
    <t>21089</t>
  </si>
  <si>
    <t>5310</t>
  </si>
  <si>
    <t>1450</t>
  </si>
  <si>
    <t>24258</t>
  </si>
  <si>
    <t>29329</t>
  </si>
  <si>
    <t>39358</t>
  </si>
  <si>
    <t>2608</t>
  </si>
  <si>
    <t>59494</t>
  </si>
  <si>
    <t>46428</t>
  </si>
  <si>
    <t>30079</t>
  </si>
  <si>
    <t>43148</t>
  </si>
  <si>
    <t>28125</t>
  </si>
  <si>
    <t>57546</t>
  </si>
  <si>
    <t>1101</t>
  </si>
  <si>
    <t>6499</t>
  </si>
  <si>
    <t>18534</t>
  </si>
  <si>
    <t>19114</t>
  </si>
  <si>
    <t>12796</t>
  </si>
  <si>
    <t>30125</t>
  </si>
  <si>
    <t>18659</t>
  </si>
  <si>
    <t>4896</t>
  </si>
  <si>
    <t>4140</t>
  </si>
  <si>
    <t>3684</t>
  </si>
  <si>
    <t>45275</t>
  </si>
  <si>
    <t>8869</t>
  </si>
  <si>
    <t>8870</t>
  </si>
  <si>
    <t>8612</t>
  </si>
  <si>
    <t>8833</t>
  </si>
  <si>
    <t>8834</t>
  </si>
  <si>
    <t>18319</t>
  </si>
  <si>
    <t>51709</t>
  </si>
  <si>
    <t>24349</t>
  </si>
  <si>
    <t>34313</t>
  </si>
  <si>
    <t>8569</t>
  </si>
  <si>
    <t>11557</t>
  </si>
  <si>
    <t>2210</t>
  </si>
  <si>
    <t>59403</t>
  </si>
  <si>
    <t>38509</t>
  </si>
  <si>
    <t>17159</t>
  </si>
  <si>
    <t>7244</t>
  </si>
  <si>
    <t>8978</t>
  </si>
  <si>
    <t>14461</t>
  </si>
  <si>
    <t>14462</t>
  </si>
  <si>
    <t>14460</t>
  </si>
  <si>
    <t>14326</t>
  </si>
  <si>
    <t>14321</t>
  </si>
  <si>
    <t>6532</t>
  </si>
  <si>
    <t>127</t>
  </si>
  <si>
    <t>4893</t>
  </si>
  <si>
    <t>20281</t>
  </si>
  <si>
    <t>7526</t>
  </si>
  <si>
    <t>14272</t>
  </si>
  <si>
    <t>554</t>
  </si>
  <si>
    <t>2224</t>
  </si>
  <si>
    <t>31</t>
  </si>
  <si>
    <t>2255</t>
  </si>
  <si>
    <t>1855</t>
  </si>
  <si>
    <t>14310</t>
  </si>
  <si>
    <t>14311</t>
  </si>
  <si>
    <t>14312</t>
  </si>
  <si>
    <t>9377</t>
  </si>
  <si>
    <t>14313</t>
  </si>
  <si>
    <t>14314</t>
  </si>
  <si>
    <t>14315</t>
  </si>
  <si>
    <t>14316</t>
  </si>
  <si>
    <t>14317</t>
  </si>
  <si>
    <t>164</t>
  </si>
  <si>
    <t>2425</t>
  </si>
  <si>
    <t>2427</t>
  </si>
  <si>
    <t>2204</t>
  </si>
  <si>
    <t>ที่ราชพัสดุ</t>
  </si>
  <si>
    <t>673</t>
  </si>
  <si>
    <t>18506</t>
  </si>
  <si>
    <t>31791</t>
  </si>
  <si>
    <t>กำลังก่อสร้าง</t>
  </si>
  <si>
    <t>105559</t>
  </si>
  <si>
    <t>67062</t>
  </si>
  <si>
    <t>68933</t>
  </si>
  <si>
    <t>55421</t>
  </si>
  <si>
    <t>38305</t>
  </si>
  <si>
    <t>39177</t>
  </si>
  <si>
    <t>10194</t>
  </si>
  <si>
    <t>10193</t>
  </si>
  <si>
    <t>10192</t>
  </si>
  <si>
    <t>10191</t>
  </si>
  <si>
    <t>10171</t>
  </si>
  <si>
    <t>10172</t>
  </si>
  <si>
    <t>10173</t>
  </si>
  <si>
    <t>10174</t>
  </si>
  <si>
    <t>10409</t>
  </si>
  <si>
    <t>48494</t>
  </si>
  <si>
    <t>48493</t>
  </si>
  <si>
    <t>48492</t>
  </si>
  <si>
    <t>48491</t>
  </si>
  <si>
    <t>48471</t>
  </si>
  <si>
    <t>48472</t>
  </si>
  <si>
    <t>48473</t>
  </si>
  <si>
    <t>48474</t>
  </si>
  <si>
    <t>20927</t>
  </si>
  <si>
    <t>16955</t>
  </si>
  <si>
    <t>20861</t>
  </si>
  <si>
    <t>34801</t>
  </si>
  <si>
    <t>5450</t>
  </si>
  <si>
    <t>7594</t>
  </si>
  <si>
    <t>27170</t>
  </si>
  <si>
    <t>4770</t>
  </si>
  <si>
    <t>4771</t>
  </si>
  <si>
    <t>14574</t>
  </si>
  <si>
    <t>17839</t>
  </si>
  <si>
    <t>46208</t>
  </si>
  <si>
    <t>21250</t>
  </si>
  <si>
    <t>21251</t>
  </si>
  <si>
    <t>65688</t>
  </si>
  <si>
    <t>99717</t>
  </si>
  <si>
    <t>62840</t>
  </si>
  <si>
    <t>34327</t>
  </si>
  <si>
    <t>58899</t>
  </si>
  <si>
    <t>9182</t>
  </si>
  <si>
    <t>5673</t>
  </si>
  <si>
    <t>5646</t>
  </si>
  <si>
    <t>9155</t>
  </si>
  <si>
    <t>11981</t>
  </si>
  <si>
    <t>21678</t>
  </si>
  <si>
    <t>43248</t>
  </si>
  <si>
    <t>39544</t>
  </si>
  <si>
    <t>43315</t>
  </si>
  <si>
    <t>80208</t>
  </si>
  <si>
    <t>53939</t>
  </si>
  <si>
    <t>80620</t>
  </si>
  <si>
    <t>108154</t>
  </si>
  <si>
    <t>7368</t>
  </si>
  <si>
    <t>59611</t>
  </si>
  <si>
    <t>37771</t>
  </si>
  <si>
    <t>117490</t>
  </si>
  <si>
    <t>36595</t>
  </si>
  <si>
    <t>23358</t>
  </si>
  <si>
    <t>62512</t>
  </si>
  <si>
    <t>41238</t>
  </si>
  <si>
    <t>20297</t>
  </si>
  <si>
    <t>123932</t>
  </si>
  <si>
    <t>53875</t>
  </si>
  <si>
    <t>102900</t>
  </si>
  <si>
    <t>59612</t>
  </si>
  <si>
    <t>117491</t>
  </si>
  <si>
    <t>43999</t>
  </si>
  <si>
    <t>3313</t>
  </si>
  <si>
    <t>48115</t>
  </si>
  <si>
    <t>26100</t>
  </si>
  <si>
    <t>87718</t>
  </si>
  <si>
    <t>19632</t>
  </si>
  <si>
    <t>115978</t>
  </si>
  <si>
    <t>24813</t>
  </si>
  <si>
    <t>42183</t>
  </si>
  <si>
    <t>34338</t>
  </si>
  <si>
    <t>59000</t>
  </si>
  <si>
    <t>อาคารในนาม บ.สุราษฎร์ออย</t>
  </si>
  <si>
    <t>10527</t>
  </si>
  <si>
    <t>17435</t>
  </si>
  <si>
    <t>50285</t>
  </si>
  <si>
    <t>94310</t>
  </si>
  <si>
    <t>2323</t>
  </si>
  <si>
    <t>2313</t>
  </si>
  <si>
    <t>101668</t>
  </si>
  <si>
    <t>101659</t>
  </si>
  <si>
    <t>16612</t>
  </si>
  <si>
    <t>28505</t>
  </si>
  <si>
    <t>38444</t>
  </si>
  <si>
    <t>31335</t>
  </si>
  <si>
    <t>67983</t>
  </si>
  <si>
    <t>54035</t>
  </si>
  <si>
    <t>45886</t>
  </si>
  <si>
    <t>45887</t>
  </si>
  <si>
    <t>5241</t>
  </si>
  <si>
    <t>14577</t>
  </si>
  <si>
    <t>84174</t>
  </si>
  <si>
    <t>84175</t>
  </si>
  <si>
    <t>8281</t>
  </si>
  <si>
    <t>24863</t>
  </si>
  <si>
    <t>9674</t>
  </si>
  <si>
    <t>9675</t>
  </si>
  <si>
    <t>45749</t>
  </si>
  <si>
    <t>45750</t>
  </si>
  <si>
    <t>โรงจอดรถบัส</t>
  </si>
  <si>
    <t>4556</t>
  </si>
  <si>
    <t>4557</t>
  </si>
  <si>
    <t>7178</t>
  </si>
  <si>
    <t>7179</t>
  </si>
  <si>
    <t>11548</t>
  </si>
  <si>
    <t>55427</t>
  </si>
  <si>
    <t>59225</t>
  </si>
  <si>
    <t>115915</t>
  </si>
  <si>
    <t>78905</t>
  </si>
  <si>
    <t>19897</t>
  </si>
  <si>
    <t>118268</t>
  </si>
  <si>
    <t>6966</t>
  </si>
  <si>
    <t>13371</t>
  </si>
  <si>
    <t>8203</t>
  </si>
  <si>
    <t>16808</t>
  </si>
  <si>
    <t>19751</t>
  </si>
  <si>
    <t>33548</t>
  </si>
  <si>
    <t>649</t>
  </si>
  <si>
    <t>4901</t>
  </si>
  <si>
    <t>445</t>
  </si>
  <si>
    <t>86079</t>
  </si>
  <si>
    <t>47442</t>
  </si>
  <si>
    <t>86426</t>
  </si>
  <si>
    <t>18797</t>
  </si>
  <si>
    <t>32262</t>
  </si>
  <si>
    <t>1238</t>
  </si>
  <si>
    <t>27226</t>
  </si>
  <si>
    <t>53261</t>
  </si>
  <si>
    <t>101816</t>
  </si>
  <si>
    <t>29971</t>
  </si>
  <si>
    <t>52471</t>
  </si>
  <si>
    <t>34407</t>
  </si>
  <si>
    <t>30674</t>
  </si>
  <si>
    <t>52180</t>
  </si>
  <si>
    <t>36834</t>
  </si>
  <si>
    <t>63277</t>
  </si>
  <si>
    <t>8397</t>
  </si>
  <si>
    <t>19818</t>
  </si>
  <si>
    <t>อู่เช่า</t>
  </si>
  <si>
    <t>4/12</t>
  </si>
  <si>
    <t>2957</t>
  </si>
  <si>
    <t>23104</t>
  </si>
  <si>
    <t>55561</t>
  </si>
  <si>
    <t>5104</t>
  </si>
  <si>
    <t>39704</t>
  </si>
  <si>
    <t>105820</t>
  </si>
  <si>
    <t>ตึกแถว 17ห</t>
  </si>
  <si>
    <t>11329</t>
  </si>
  <si>
    <t>11330</t>
  </si>
  <si>
    <t>10450</t>
  </si>
  <si>
    <t>10451</t>
  </si>
  <si>
    <t>2465</t>
  </si>
  <si>
    <t>2464</t>
  </si>
  <si>
    <t>1775</t>
  </si>
  <si>
    <t>3378</t>
  </si>
  <si>
    <t>15663</t>
  </si>
  <si>
    <t>โอนขายหลัง 1 ม.ค.63</t>
  </si>
  <si>
    <t>บ.สหภัณฑ์เช่าที่ดินปลูกอาคาร</t>
  </si>
  <si>
    <t>ตึกแถว 23ห</t>
  </si>
  <si>
    <t>11805</t>
  </si>
  <si>
    <t>12370</t>
  </si>
  <si>
    <t>21538</t>
  </si>
  <si>
    <t>22374</t>
  </si>
  <si>
    <t xml:space="preserve">ห้องแถว </t>
  </si>
  <si>
    <t>8229</t>
  </si>
  <si>
    <t>18218</t>
  </si>
  <si>
    <t>15469</t>
  </si>
  <si>
    <t>เยี่ยมยงการยางเช่าที่ดิน</t>
  </si>
  <si>
    <t>10652</t>
  </si>
  <si>
    <t>50331</t>
  </si>
  <si>
    <t>26/85</t>
  </si>
  <si>
    <t>15/65</t>
  </si>
  <si>
    <t>8723</t>
  </si>
  <si>
    <t>ร.ร.เมธัส</t>
  </si>
  <si>
    <t>6366</t>
  </si>
  <si>
    <t>11849</t>
  </si>
  <si>
    <t>อู่ซ่อม</t>
  </si>
  <si>
    <t>ตึกแถว 3 ห</t>
  </si>
  <si>
    <t>21917</t>
  </si>
  <si>
    <t>23480</t>
  </si>
  <si>
    <t>37056</t>
  </si>
  <si>
    <t>40072</t>
  </si>
  <si>
    <t>4855</t>
  </si>
  <si>
    <t>3745</t>
  </si>
  <si>
    <t>11142</t>
  </si>
  <si>
    <t>17716</t>
  </si>
  <si>
    <t>30118</t>
  </si>
  <si>
    <t>10659</t>
  </si>
  <si>
    <t>10660</t>
  </si>
  <si>
    <t>10661</t>
  </si>
  <si>
    <t>27326</t>
  </si>
  <si>
    <t>22916</t>
  </si>
  <si>
    <t>82733</t>
  </si>
  <si>
    <t>33217</t>
  </si>
  <si>
    <t>53082</t>
  </si>
  <si>
    <t>98819</t>
  </si>
  <si>
    <t>52618</t>
  </si>
  <si>
    <t>73984</t>
  </si>
  <si>
    <t>20305</t>
  </si>
  <si>
    <t>20306</t>
  </si>
  <si>
    <t>20307</t>
  </si>
  <si>
    <t>20012</t>
  </si>
  <si>
    <t>5376</t>
  </si>
  <si>
    <t>14846</t>
  </si>
  <si>
    <t>14827</t>
  </si>
  <si>
    <t>53814</t>
  </si>
  <si>
    <t>9903</t>
  </si>
  <si>
    <t>33833</t>
  </si>
  <si>
    <t>24891</t>
  </si>
  <si>
    <t>25933</t>
  </si>
  <si>
    <t>25934</t>
  </si>
  <si>
    <t>102426</t>
  </si>
  <si>
    <t>81606</t>
  </si>
  <si>
    <t>30917</t>
  </si>
  <si>
    <t>2042</t>
  </si>
  <si>
    <t>13532</t>
  </si>
  <si>
    <t>14845</t>
  </si>
  <si>
    <t>54553</t>
  </si>
  <si>
    <t>7150</t>
  </si>
  <si>
    <t>63530</t>
  </si>
  <si>
    <t>25932</t>
  </si>
  <si>
    <t>เดอะการ์เด้นคอนโด</t>
  </si>
  <si>
    <t>3/2558</t>
  </si>
  <si>
    <t>42/140</t>
  </si>
  <si>
    <t>1/3</t>
  </si>
  <si>
    <t>2/3</t>
  </si>
  <si>
    <t>13260</t>
  </si>
  <si>
    <t>13349</t>
  </si>
  <si>
    <t>62738</t>
  </si>
  <si>
    <t>62542</t>
  </si>
  <si>
    <t>เดอะการ์เด้นท์คอนโด</t>
  </si>
  <si>
    <t xml:space="preserve"> 3/58</t>
  </si>
  <si>
    <t>42/123</t>
  </si>
  <si>
    <t>ชั้น 6 A</t>
  </si>
  <si>
    <t>42/234</t>
  </si>
  <si>
    <t>ชั้น 3 B</t>
  </si>
  <si>
    <t>พลัสคอนโดมิเนียม</t>
  </si>
  <si>
    <t xml:space="preserve"> 1/58</t>
  </si>
  <si>
    <t>48/279</t>
  </si>
  <si>
    <t>ชั้น 6 B</t>
  </si>
  <si>
    <t>42/204</t>
  </si>
  <si>
    <t>ชั้น 1 B</t>
  </si>
  <si>
    <t>บ้านเดี่ยว 4ห</t>
  </si>
  <si>
    <t>บ้านเดี่ยว 5ห</t>
  </si>
  <si>
    <t>ว่าง</t>
  </si>
  <si>
    <t>ราคาประเมินทุนทรัพย์ของที่ดินและสิ่งปลูกสร้าง</t>
  </si>
  <si>
    <t>ภ.ด.ส.1</t>
  </si>
  <si>
    <t>ของที่ดินและ</t>
  </si>
  <si>
    <t>(หมู่ที่/ชุมชน/</t>
  </si>
  <si>
    <t>สัดส่วน</t>
  </si>
  <si>
    <t>ประเมินต่อ</t>
  </si>
  <si>
    <t>ตำบล)</t>
  </si>
  <si>
    <t>ตามการใช้</t>
  </si>
  <si>
    <t>ตารางเมตร</t>
  </si>
  <si>
    <t>ตามสัดส่วน</t>
  </si>
  <si>
    <t>ที่ต้อง</t>
  </si>
  <si>
    <t>การใช้ประโยชน์</t>
  </si>
  <si>
    <t>เสียภาษี</t>
  </si>
  <si>
    <t>ราคาประเมินทุนทรัพย์ห้องชุดตามกฏหมายว่าด้วยอาคารชุด</t>
  </si>
  <si>
    <t>ภ.ด.ส.2</t>
  </si>
  <si>
    <t>ที่ตั้งอาคารชุด</t>
  </si>
  <si>
    <t>ที่ต้องเสียภาษี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</si>
</sst>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_-* #,##0.000_-;\-* #,##0.000_-;_-* &quot;-&quot;??_-;_-@_-"/>
    <numFmt numFmtId="190" formatCode="_-* #,##0.000000_-;\-* #,##0.000000_-;_-* &quot;-&quot;??_-;_-@_-"/>
    <numFmt numFmtId="191" formatCode="0.0"/>
    <numFmt numFmtId="192" formatCode="_-* #,##0.0000_-;\-* #,##0.0000_-;_-* &quot;-&quot;??_-;_-@_-"/>
    <numFmt numFmtId="193" formatCode="_-* #,##0.0000_-;\-* #,##0.0000_-;_-* &quot;-&quot;????_-;_-@_-"/>
    <numFmt numFmtId="194" formatCode="_-* #,##0.00000_-;\-* #,##0.00000_-;_-* &quot;-&quot;??_-;_-@_-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u val="single"/>
      <sz val="8.8"/>
      <color indexed="20"/>
      <name val="Tahoma"/>
      <family val="2"/>
    </font>
    <font>
      <u val="single"/>
      <sz val="8.8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TH SarabunPSK"/>
      <family val="2"/>
    </font>
    <font>
      <sz val="11"/>
      <color indexed="8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indexed="56"/>
      <name val="TH SarabunPSK"/>
      <family val="2"/>
    </font>
    <font>
      <b/>
      <sz val="14"/>
      <color indexed="8"/>
      <name val="Angsana New"/>
      <family val="1"/>
    </font>
    <font>
      <sz val="16"/>
      <color indexed="30"/>
      <name val="TH SarabunPSK"/>
      <family val="2"/>
    </font>
    <font>
      <b/>
      <sz val="11"/>
      <color indexed="8"/>
      <name val="Angsana New"/>
      <family val="1"/>
    </font>
    <font>
      <sz val="12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8"/>
      <name val="Tahoma"/>
      <family val="2"/>
    </font>
    <font>
      <sz val="11"/>
      <color theme="0"/>
      <name val="Calibri"/>
      <family val="2"/>
    </font>
    <font>
      <u val="single"/>
      <sz val="8.8"/>
      <color theme="11"/>
      <name val="Tahoma"/>
      <family val="2"/>
    </font>
    <font>
      <u val="single"/>
      <sz val="8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TH SarabunPSK"/>
      <family val="2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3"/>
      <name val="TH SarabunPSK"/>
      <family val="2"/>
    </font>
    <font>
      <b/>
      <sz val="14"/>
      <color theme="1"/>
      <name val="Angsana New"/>
      <family val="1"/>
    </font>
    <font>
      <sz val="16"/>
      <color rgb="FF0070C0"/>
      <name val="TH SarabunPSK"/>
      <family val="2"/>
    </font>
    <font>
      <b/>
      <sz val="11"/>
      <color theme="1"/>
      <name val="Angsana New"/>
      <family val="1"/>
    </font>
    <font>
      <sz val="12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43" fontId="56" fillId="33" borderId="0" xfId="38" applyFont="1" applyFill="1" applyAlignment="1">
      <alignment/>
    </xf>
    <xf numFmtId="0" fontId="55" fillId="0" borderId="10" xfId="0" applyFont="1" applyBorder="1" applyAlignment="1">
      <alignment/>
    </xf>
    <xf numFmtId="187" fontId="57" fillId="33" borderId="10" xfId="38" applyNumberFormat="1" applyFont="1" applyFill="1" applyBorder="1" applyAlignment="1">
      <alignment shrinkToFit="1"/>
    </xf>
    <xf numFmtId="43" fontId="57" fillId="33" borderId="10" xfId="38" applyNumberFormat="1" applyFont="1" applyFill="1" applyBorder="1" applyAlignment="1">
      <alignment shrinkToFit="1"/>
    </xf>
    <xf numFmtId="187" fontId="57" fillId="33" borderId="0" xfId="38" applyNumberFormat="1" applyFont="1" applyFill="1" applyAlignment="1">
      <alignment shrinkToFit="1"/>
    </xf>
    <xf numFmtId="187" fontId="55" fillId="0" borderId="10" xfId="38" applyNumberFormat="1" applyFont="1" applyBorder="1" applyAlignment="1">
      <alignment/>
    </xf>
    <xf numFmtId="43" fontId="55" fillId="0" borderId="10" xfId="38" applyNumberFormat="1" applyFont="1" applyBorder="1" applyAlignment="1">
      <alignment/>
    </xf>
    <xf numFmtId="43" fontId="55" fillId="33" borderId="11" xfId="38" applyFont="1" applyFill="1" applyBorder="1" applyAlignment="1">
      <alignment horizontal="center"/>
    </xf>
    <xf numFmtId="187" fontId="56" fillId="33" borderId="0" xfId="38" applyNumberFormat="1" applyFont="1" applyFill="1" applyAlignment="1">
      <alignment/>
    </xf>
    <xf numFmtId="43" fontId="55" fillId="33" borderId="10" xfId="38" applyFont="1" applyFill="1" applyBorder="1" applyAlignment="1">
      <alignment shrinkToFit="1"/>
    </xf>
    <xf numFmtId="49" fontId="57" fillId="33" borderId="10" xfId="38" applyNumberFormat="1" applyFont="1" applyFill="1" applyBorder="1" applyAlignment="1">
      <alignment horizontal="center" shrinkToFit="1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49" fontId="55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shrinkToFit="1"/>
    </xf>
    <xf numFmtId="17" fontId="55" fillId="0" borderId="10" xfId="0" applyNumberFormat="1" applyFont="1" applyBorder="1" applyAlignment="1">
      <alignment horizontal="center"/>
    </xf>
    <xf numFmtId="187" fontId="56" fillId="33" borderId="0" xfId="38" applyNumberFormat="1" applyFont="1" applyFill="1" applyAlignment="1">
      <alignment shrinkToFit="1"/>
    </xf>
    <xf numFmtId="0" fontId="59" fillId="33" borderId="0" xfId="0" applyFont="1" applyFill="1" applyAlignment="1">
      <alignment/>
    </xf>
    <xf numFmtId="0" fontId="55" fillId="33" borderId="11" xfId="0" applyFont="1" applyFill="1" applyBorder="1" applyAlignment="1">
      <alignment horizontal="center"/>
    </xf>
    <xf numFmtId="49" fontId="55" fillId="33" borderId="11" xfId="0" applyNumberFormat="1" applyFont="1" applyFill="1" applyBorder="1" applyAlignment="1">
      <alignment horizontal="center"/>
    </xf>
    <xf numFmtId="49" fontId="55" fillId="33" borderId="10" xfId="38" applyNumberFormat="1" applyFont="1" applyFill="1" applyBorder="1" applyAlignment="1">
      <alignment shrinkToFit="1"/>
    </xf>
    <xf numFmtId="0" fontId="60" fillId="33" borderId="0" xfId="0" applyFont="1" applyFill="1" applyAlignment="1">
      <alignment horizontal="center"/>
    </xf>
    <xf numFmtId="0" fontId="61" fillId="33" borderId="13" xfId="0" applyFont="1" applyFill="1" applyBorder="1" applyAlignment="1">
      <alignment horizontal="center" wrapText="1"/>
    </xf>
    <xf numFmtId="0" fontId="62" fillId="33" borderId="16" xfId="0" applyFont="1" applyFill="1" applyBorder="1" applyAlignment="1">
      <alignment horizontal="center" wrapText="1"/>
    </xf>
    <xf numFmtId="49" fontId="62" fillId="33" borderId="16" xfId="38" applyNumberFormat="1" applyFont="1" applyFill="1" applyBorder="1" applyAlignment="1">
      <alignment horizontal="center" wrapText="1"/>
    </xf>
    <xf numFmtId="43" fontId="61" fillId="33" borderId="16" xfId="38" applyFont="1" applyFill="1" applyBorder="1" applyAlignment="1">
      <alignment horizontal="center" wrapText="1"/>
    </xf>
    <xf numFmtId="0" fontId="61" fillId="33" borderId="16" xfId="0" applyFont="1" applyFill="1" applyBorder="1" applyAlignment="1">
      <alignment horizontal="center" wrapText="1"/>
    </xf>
    <xf numFmtId="0" fontId="61" fillId="33" borderId="16" xfId="0" applyFont="1" applyFill="1" applyBorder="1" applyAlignment="1">
      <alignment horizontal="center"/>
    </xf>
    <xf numFmtId="43" fontId="61" fillId="33" borderId="16" xfId="38" applyFont="1" applyFill="1" applyBorder="1" applyAlignment="1">
      <alignment horizontal="center"/>
    </xf>
    <xf numFmtId="49" fontId="61" fillId="33" borderId="16" xfId="38" applyNumberFormat="1" applyFont="1" applyFill="1" applyBorder="1" applyAlignment="1">
      <alignment horizontal="center"/>
    </xf>
    <xf numFmtId="0" fontId="60" fillId="33" borderId="0" xfId="0" applyFont="1" applyFill="1" applyAlignment="1">
      <alignment/>
    </xf>
    <xf numFmtId="187" fontId="55" fillId="33" borderId="10" xfId="38" applyNumberFormat="1" applyFont="1" applyFill="1" applyBorder="1" applyAlignment="1">
      <alignment shrinkToFit="1"/>
    </xf>
    <xf numFmtId="187" fontId="55" fillId="33" borderId="19" xfId="38" applyNumberFormat="1" applyFont="1" applyFill="1" applyBorder="1" applyAlignment="1">
      <alignment shrinkToFit="1"/>
    </xf>
    <xf numFmtId="188" fontId="55" fillId="33" borderId="10" xfId="38" applyNumberFormat="1" applyFont="1" applyFill="1" applyBorder="1" applyAlignment="1">
      <alignment shrinkToFit="1"/>
    </xf>
    <xf numFmtId="49" fontId="55" fillId="33" borderId="10" xfId="38" applyNumberFormat="1" applyFont="1" applyFill="1" applyBorder="1" applyAlignment="1">
      <alignment horizontal="center" shrinkToFit="1"/>
    </xf>
    <xf numFmtId="187" fontId="55" fillId="33" borderId="0" xfId="38" applyNumberFormat="1" applyFont="1" applyFill="1" applyAlignment="1">
      <alignment shrinkToFit="1"/>
    </xf>
    <xf numFmtId="49" fontId="58" fillId="33" borderId="10" xfId="38" applyNumberFormat="1" applyFont="1" applyFill="1" applyBorder="1" applyAlignment="1">
      <alignment horizontal="center" shrinkToFit="1"/>
    </xf>
    <xf numFmtId="49" fontId="63" fillId="33" borderId="10" xfId="38" applyNumberFormat="1" applyFont="1" applyFill="1" applyBorder="1" applyAlignment="1">
      <alignment horizontal="center" shrinkToFit="1"/>
    </xf>
    <xf numFmtId="0" fontId="64" fillId="33" borderId="0" xfId="0" applyFont="1" applyFill="1" applyAlignment="1">
      <alignment horizontal="center"/>
    </xf>
    <xf numFmtId="187" fontId="55" fillId="33" borderId="10" xfId="38" applyNumberFormat="1" applyFont="1" applyFill="1" applyBorder="1" applyAlignment="1">
      <alignment/>
    </xf>
    <xf numFmtId="49" fontId="65" fillId="33" borderId="10" xfId="38" applyNumberFormat="1" applyFont="1" applyFill="1" applyBorder="1" applyAlignment="1">
      <alignment horizontal="center" shrinkToFit="1"/>
    </xf>
    <xf numFmtId="0" fontId="55" fillId="33" borderId="0" xfId="0" applyFont="1" applyFill="1" applyAlignment="1">
      <alignment/>
    </xf>
    <xf numFmtId="49" fontId="55" fillId="33" borderId="0" xfId="0" applyNumberFormat="1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49" fontId="58" fillId="33" borderId="0" xfId="0" applyNumberFormat="1" applyFont="1" applyFill="1" applyAlignment="1">
      <alignment horizontal="center"/>
    </xf>
    <xf numFmtId="187" fontId="55" fillId="33" borderId="0" xfId="38" applyNumberFormat="1" applyFont="1" applyFill="1" applyAlignment="1">
      <alignment/>
    </xf>
    <xf numFmtId="189" fontId="55" fillId="33" borderId="0" xfId="0" applyNumberFormat="1" applyFont="1" applyFill="1" applyAlignment="1">
      <alignment/>
    </xf>
    <xf numFmtId="49" fontId="56" fillId="33" borderId="0" xfId="0" applyNumberFormat="1" applyFont="1" applyFill="1" applyAlignment="1">
      <alignment horizontal="center"/>
    </xf>
    <xf numFmtId="0" fontId="56" fillId="33" borderId="0" xfId="0" applyFont="1" applyFill="1" applyAlignment="1">
      <alignment/>
    </xf>
    <xf numFmtId="0" fontId="0" fillId="33" borderId="0" xfId="0" applyFill="1" applyAlignment="1">
      <alignment/>
    </xf>
    <xf numFmtId="0" fontId="66" fillId="33" borderId="0" xfId="0" applyFont="1" applyFill="1" applyAlignment="1">
      <alignment/>
    </xf>
    <xf numFmtId="43" fontId="62" fillId="33" borderId="16" xfId="38" applyFont="1" applyFill="1" applyBorder="1" applyAlignment="1">
      <alignment horizontal="center" wrapText="1"/>
    </xf>
    <xf numFmtId="0" fontId="64" fillId="33" borderId="0" xfId="0" applyFont="1" applyFill="1" applyAlignment="1">
      <alignment/>
    </xf>
    <xf numFmtId="0" fontId="61" fillId="33" borderId="13" xfId="0" applyFont="1" applyFill="1" applyBorder="1" applyAlignment="1">
      <alignment horizontal="center"/>
    </xf>
    <xf numFmtId="49" fontId="61" fillId="33" borderId="13" xfId="0" applyNumberFormat="1" applyFont="1" applyFill="1" applyBorder="1" applyAlignment="1">
      <alignment horizontal="center"/>
    </xf>
    <xf numFmtId="0" fontId="61" fillId="33" borderId="13" xfId="0" applyFont="1" applyFill="1" applyBorder="1" applyAlignment="1">
      <alignment/>
    </xf>
    <xf numFmtId="43" fontId="61" fillId="33" borderId="20" xfId="38" applyFont="1" applyFill="1" applyBorder="1" applyAlignment="1">
      <alignment horizontal="center"/>
    </xf>
    <xf numFmtId="43" fontId="61" fillId="33" borderId="13" xfId="38" applyFont="1" applyFill="1" applyBorder="1" applyAlignment="1">
      <alignment horizontal="center"/>
    </xf>
    <xf numFmtId="49" fontId="61" fillId="33" borderId="16" xfId="0" applyNumberFormat="1" applyFont="1" applyFill="1" applyBorder="1" applyAlignment="1">
      <alignment horizontal="center" wrapText="1"/>
    </xf>
    <xf numFmtId="0" fontId="61" fillId="33" borderId="15" xfId="0" applyFont="1" applyFill="1" applyBorder="1" applyAlignment="1">
      <alignment horizontal="center" shrinkToFit="1"/>
    </xf>
    <xf numFmtId="0" fontId="61" fillId="33" borderId="15" xfId="0" applyFont="1" applyFill="1" applyBorder="1" applyAlignment="1">
      <alignment horizontal="center" wrapText="1"/>
    </xf>
    <xf numFmtId="0" fontId="61" fillId="33" borderId="20" xfId="0" applyFont="1" applyFill="1" applyBorder="1" applyAlignment="1">
      <alignment horizontal="center" wrapText="1"/>
    </xf>
    <xf numFmtId="187" fontId="61" fillId="33" borderId="13" xfId="38" applyNumberFormat="1" applyFont="1" applyFill="1" applyBorder="1" applyAlignment="1">
      <alignment horizontal="center" wrapText="1"/>
    </xf>
    <xf numFmtId="189" fontId="61" fillId="33" borderId="16" xfId="38" applyNumberFormat="1" applyFont="1" applyFill="1" applyBorder="1" applyAlignment="1">
      <alignment horizontal="center"/>
    </xf>
    <xf numFmtId="43" fontId="61" fillId="33" borderId="21" xfId="38" applyFont="1" applyFill="1" applyBorder="1" applyAlignment="1">
      <alignment horizontal="center"/>
    </xf>
    <xf numFmtId="0" fontId="61" fillId="33" borderId="16" xfId="0" applyFont="1" applyFill="1" applyBorder="1" applyAlignment="1">
      <alignment wrapText="1"/>
    </xf>
    <xf numFmtId="0" fontId="61" fillId="33" borderId="21" xfId="0" applyFont="1" applyFill="1" applyBorder="1" applyAlignment="1">
      <alignment horizontal="center" wrapText="1"/>
    </xf>
    <xf numFmtId="187" fontId="61" fillId="33" borderId="16" xfId="38" applyNumberFormat="1" applyFont="1" applyFill="1" applyBorder="1" applyAlignment="1">
      <alignment horizontal="center" wrapText="1"/>
    </xf>
    <xf numFmtId="0" fontId="62" fillId="33" borderId="15" xfId="0" applyFont="1" applyFill="1" applyBorder="1" applyAlignment="1">
      <alignment horizontal="center" wrapText="1"/>
    </xf>
    <xf numFmtId="49" fontId="61" fillId="33" borderId="16" xfId="0" applyNumberFormat="1" applyFont="1" applyFill="1" applyBorder="1" applyAlignment="1">
      <alignment horizontal="center"/>
    </xf>
    <xf numFmtId="0" fontId="61" fillId="33" borderId="16" xfId="0" applyFont="1" applyFill="1" applyBorder="1" applyAlignment="1">
      <alignment/>
    </xf>
    <xf numFmtId="0" fontId="61" fillId="33" borderId="15" xfId="0" applyFont="1" applyFill="1" applyBorder="1" applyAlignment="1">
      <alignment horizontal="center"/>
    </xf>
    <xf numFmtId="187" fontId="61" fillId="33" borderId="16" xfId="38" applyNumberFormat="1" applyFont="1" applyFill="1" applyBorder="1" applyAlignment="1">
      <alignment horizontal="center"/>
    </xf>
    <xf numFmtId="0" fontId="61" fillId="33" borderId="16" xfId="0" applyFont="1" applyFill="1" applyBorder="1" applyAlignment="1">
      <alignment/>
    </xf>
    <xf numFmtId="43" fontId="62" fillId="33" borderId="21" xfId="38" applyFont="1" applyFill="1" applyBorder="1" applyAlignment="1">
      <alignment horizontal="center"/>
    </xf>
    <xf numFmtId="0" fontId="62" fillId="33" borderId="16" xfId="0" applyFont="1" applyFill="1" applyBorder="1" applyAlignment="1">
      <alignment horizontal="center"/>
    </xf>
    <xf numFmtId="0" fontId="61" fillId="33" borderId="18" xfId="0" applyFont="1" applyFill="1" applyBorder="1" applyAlignment="1">
      <alignment/>
    </xf>
    <xf numFmtId="49" fontId="61" fillId="33" borderId="18" xfId="0" applyNumberFormat="1" applyFont="1" applyFill="1" applyBorder="1" applyAlignment="1">
      <alignment horizontal="center"/>
    </xf>
    <xf numFmtId="0" fontId="61" fillId="33" borderId="18" xfId="0" applyFont="1" applyFill="1" applyBorder="1" applyAlignment="1">
      <alignment/>
    </xf>
    <xf numFmtId="0" fontId="61" fillId="33" borderId="17" xfId="0" applyFont="1" applyFill="1" applyBorder="1" applyAlignment="1">
      <alignment/>
    </xf>
    <xf numFmtId="0" fontId="61" fillId="33" borderId="17" xfId="0" applyFont="1" applyFill="1" applyBorder="1" applyAlignment="1">
      <alignment horizontal="center"/>
    </xf>
    <xf numFmtId="0" fontId="61" fillId="33" borderId="22" xfId="0" applyFont="1" applyFill="1" applyBorder="1" applyAlignment="1">
      <alignment/>
    </xf>
    <xf numFmtId="187" fontId="61" fillId="33" borderId="18" xfId="38" applyNumberFormat="1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49" fontId="61" fillId="33" borderId="18" xfId="38" applyNumberFormat="1" applyFont="1" applyFill="1" applyBorder="1" applyAlignment="1">
      <alignment horizontal="center"/>
    </xf>
    <xf numFmtId="189" fontId="61" fillId="33" borderId="18" xfId="38" applyNumberFormat="1" applyFont="1" applyFill="1" applyBorder="1" applyAlignment="1">
      <alignment horizontal="center"/>
    </xf>
    <xf numFmtId="0" fontId="61" fillId="33" borderId="0" xfId="0" applyFont="1" applyFill="1" applyAlignment="1">
      <alignment/>
    </xf>
    <xf numFmtId="43" fontId="61" fillId="33" borderId="18" xfId="38" applyFont="1" applyFill="1" applyBorder="1" applyAlignment="1">
      <alignment/>
    </xf>
    <xf numFmtId="43" fontId="61" fillId="33" borderId="22" xfId="38" applyFont="1" applyFill="1" applyBorder="1" applyAlignment="1">
      <alignment horizontal="center"/>
    </xf>
    <xf numFmtId="43" fontId="55" fillId="33" borderId="10" xfId="38" applyNumberFormat="1" applyFont="1" applyFill="1" applyBorder="1" applyAlignment="1">
      <alignment shrinkToFit="1"/>
    </xf>
    <xf numFmtId="187" fontId="55" fillId="33" borderId="10" xfId="38" applyNumberFormat="1" applyFont="1" applyFill="1" applyBorder="1" applyAlignment="1">
      <alignment horizontal="center" shrinkToFit="1"/>
    </xf>
    <xf numFmtId="49" fontId="55" fillId="33" borderId="10" xfId="0" applyNumberFormat="1" applyFont="1" applyFill="1" applyBorder="1" applyAlignment="1">
      <alignment horizontal="center"/>
    </xf>
    <xf numFmtId="189" fontId="55" fillId="33" borderId="10" xfId="38" applyNumberFormat="1" applyFont="1" applyFill="1" applyBorder="1" applyAlignment="1">
      <alignment shrinkToFit="1"/>
    </xf>
    <xf numFmtId="43" fontId="55" fillId="33" borderId="10" xfId="38" applyNumberFormat="1" applyFont="1" applyFill="1" applyBorder="1" applyAlignment="1">
      <alignment horizontal="center" shrinkToFit="1"/>
    </xf>
    <xf numFmtId="187" fontId="2" fillId="33" borderId="10" xfId="38" applyNumberFormat="1" applyFont="1" applyFill="1" applyBorder="1" applyAlignment="1">
      <alignment shrinkToFit="1"/>
    </xf>
    <xf numFmtId="43" fontId="2" fillId="33" borderId="10" xfId="38" applyNumberFormat="1" applyFont="1" applyFill="1" applyBorder="1" applyAlignment="1">
      <alignment shrinkToFit="1"/>
    </xf>
    <xf numFmtId="43" fontId="61" fillId="33" borderId="13" xfId="38" applyFont="1" applyFill="1" applyBorder="1" applyAlignment="1">
      <alignment horizontal="center" wrapText="1"/>
    </xf>
    <xf numFmtId="43" fontId="61" fillId="33" borderId="18" xfId="38" applyFont="1" applyFill="1" applyBorder="1" applyAlignment="1">
      <alignment horizontal="center"/>
    </xf>
    <xf numFmtId="43" fontId="55" fillId="33" borderId="0" xfId="38" applyFont="1" applyFill="1" applyAlignment="1">
      <alignment/>
    </xf>
    <xf numFmtId="187" fontId="67" fillId="33" borderId="10" xfId="38" applyNumberFormat="1" applyFont="1" applyFill="1" applyBorder="1" applyAlignment="1">
      <alignment/>
    </xf>
    <xf numFmtId="0" fontId="55" fillId="33" borderId="10" xfId="0" applyFont="1" applyFill="1" applyBorder="1" applyAlignment="1">
      <alignment shrinkToFit="1"/>
    </xf>
    <xf numFmtId="2" fontId="55" fillId="33" borderId="10" xfId="0" applyNumberFormat="1" applyFont="1" applyFill="1" applyBorder="1" applyAlignment="1">
      <alignment shrinkToFit="1"/>
    </xf>
    <xf numFmtId="49" fontId="2" fillId="33" borderId="10" xfId="38" applyNumberFormat="1" applyFont="1" applyFill="1" applyBorder="1" applyAlignment="1">
      <alignment horizontal="center" shrinkToFit="1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43" fontId="55" fillId="33" borderId="23" xfId="38" applyFont="1" applyFill="1" applyBorder="1" applyAlignment="1">
      <alignment shrinkToFit="1"/>
    </xf>
    <xf numFmtId="43" fontId="55" fillId="33" borderId="19" xfId="38" applyFont="1" applyFill="1" applyBorder="1" applyAlignment="1">
      <alignment shrinkToFit="1"/>
    </xf>
    <xf numFmtId="43" fontId="56" fillId="33" borderId="0" xfId="38" applyFont="1" applyFill="1" applyBorder="1" applyAlignment="1">
      <alignment/>
    </xf>
    <xf numFmtId="49" fontId="65" fillId="33" borderId="10" xfId="38" applyNumberFormat="1" applyFont="1" applyFill="1" applyBorder="1" applyAlignment="1">
      <alignment shrinkToFit="1"/>
    </xf>
    <xf numFmtId="49" fontId="55" fillId="33" borderId="0" xfId="0" applyNumberFormat="1" applyFont="1" applyFill="1" applyAlignment="1">
      <alignment/>
    </xf>
    <xf numFmtId="43" fontId="55" fillId="33" borderId="10" xfId="38" applyFont="1" applyFill="1" applyBorder="1" applyAlignment="1">
      <alignment/>
    </xf>
    <xf numFmtId="43" fontId="2" fillId="33" borderId="10" xfId="38" applyFont="1" applyFill="1" applyBorder="1" applyAlignment="1">
      <alignment shrinkToFit="1"/>
    </xf>
    <xf numFmtId="43" fontId="68" fillId="33" borderId="10" xfId="38" applyFont="1" applyFill="1" applyBorder="1" applyAlignment="1">
      <alignment shrinkToFit="1"/>
    </xf>
    <xf numFmtId="43" fontId="69" fillId="33" borderId="0" xfId="38" applyFont="1" applyFill="1" applyAlignment="1">
      <alignment horizontal="center"/>
    </xf>
    <xf numFmtId="0" fontId="61" fillId="33" borderId="10" xfId="0" applyFont="1" applyFill="1" applyBorder="1" applyAlignment="1">
      <alignment horizontal="center"/>
    </xf>
    <xf numFmtId="43" fontId="55" fillId="33" borderId="19" xfId="38" applyNumberFormat="1" applyFont="1" applyFill="1" applyBorder="1" applyAlignment="1">
      <alignment shrinkToFit="1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43" fontId="61" fillId="33" borderId="16" xfId="38" applyNumberFormat="1" applyFont="1" applyFill="1" applyBorder="1" applyAlignment="1">
      <alignment horizontal="center"/>
    </xf>
    <xf numFmtId="43" fontId="61" fillId="33" borderId="18" xfId="38" applyNumberFormat="1" applyFont="1" applyFill="1" applyBorder="1" applyAlignment="1">
      <alignment horizontal="center"/>
    </xf>
    <xf numFmtId="43" fontId="55" fillId="33" borderId="0" xfId="38" applyNumberFormat="1" applyFont="1" applyFill="1" applyAlignment="1">
      <alignment/>
    </xf>
    <xf numFmtId="43" fontId="55" fillId="33" borderId="10" xfId="0" applyNumberFormat="1" applyFont="1" applyFill="1" applyBorder="1" applyAlignment="1">
      <alignment shrinkToFit="1"/>
    </xf>
    <xf numFmtId="43" fontId="55" fillId="0" borderId="0" xfId="38" applyFont="1" applyAlignment="1">
      <alignment/>
    </xf>
    <xf numFmtId="43" fontId="58" fillId="0" borderId="14" xfId="38" applyFont="1" applyBorder="1" applyAlignment="1">
      <alignment horizontal="center"/>
    </xf>
    <xf numFmtId="43" fontId="58" fillId="0" borderId="13" xfId="38" applyFont="1" applyBorder="1" applyAlignment="1">
      <alignment horizontal="center"/>
    </xf>
    <xf numFmtId="43" fontId="58" fillId="0" borderId="0" xfId="38" applyFont="1" applyBorder="1" applyAlignment="1">
      <alignment horizontal="center"/>
    </xf>
    <xf numFmtId="43" fontId="58" fillId="0" borderId="16" xfId="38" applyFont="1" applyBorder="1" applyAlignment="1">
      <alignment horizontal="center"/>
    </xf>
    <xf numFmtId="43" fontId="58" fillId="0" borderId="11" xfId="38" applyFont="1" applyBorder="1" applyAlignment="1">
      <alignment horizontal="center"/>
    </xf>
    <xf numFmtId="43" fontId="58" fillId="0" borderId="18" xfId="38" applyFont="1" applyBorder="1" applyAlignment="1">
      <alignment horizontal="center"/>
    </xf>
    <xf numFmtId="187" fontId="55" fillId="0" borderId="10" xfId="38" applyNumberFormat="1" applyFont="1" applyBorder="1" applyAlignment="1">
      <alignment horizontal="center"/>
    </xf>
    <xf numFmtId="43" fontId="58" fillId="33" borderId="0" xfId="38" applyFont="1" applyFill="1" applyBorder="1" applyAlignment="1">
      <alignment horizontal="right"/>
    </xf>
    <xf numFmtId="0" fontId="58" fillId="33" borderId="0" xfId="0" applyFont="1" applyFill="1" applyBorder="1" applyAlignment="1">
      <alignment horizontal="right"/>
    </xf>
    <xf numFmtId="0" fontId="61" fillId="33" borderId="23" xfId="0" applyFont="1" applyFill="1" applyBorder="1" applyAlignment="1">
      <alignment horizontal="center" wrapText="1"/>
    </xf>
    <xf numFmtId="43" fontId="61" fillId="33" borderId="19" xfId="38" applyFont="1" applyFill="1" applyBorder="1" applyAlignment="1">
      <alignment horizontal="center" wrapText="1"/>
    </xf>
    <xf numFmtId="0" fontId="61" fillId="33" borderId="17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61" fillId="33" borderId="22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/>
    </xf>
    <xf numFmtId="0" fontId="61" fillId="33" borderId="24" xfId="0" applyFont="1" applyFill="1" applyBorder="1" applyAlignment="1">
      <alignment horizontal="center"/>
    </xf>
    <xf numFmtId="43" fontId="61" fillId="33" borderId="19" xfId="38" applyFont="1" applyFill="1" applyBorder="1" applyAlignment="1">
      <alignment horizontal="center"/>
    </xf>
    <xf numFmtId="0" fontId="61" fillId="33" borderId="23" xfId="0" applyFont="1" applyFill="1" applyBorder="1" applyAlignment="1">
      <alignment horizontal="center"/>
    </xf>
    <xf numFmtId="189" fontId="61" fillId="33" borderId="24" xfId="0" applyNumberFormat="1" applyFont="1" applyFill="1" applyBorder="1" applyAlignment="1">
      <alignment horizontal="center"/>
    </xf>
    <xf numFmtId="43" fontId="61" fillId="33" borderId="24" xfId="38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61" fillId="33" borderId="2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/>
    </xf>
    <xf numFmtId="43" fontId="58" fillId="33" borderId="0" xfId="38" applyFont="1" applyFill="1" applyBorder="1" applyAlignment="1">
      <alignment horizontal="center"/>
    </xf>
    <xf numFmtId="189" fontId="58" fillId="33" borderId="0" xfId="0" applyNumberFormat="1" applyFont="1" applyFill="1" applyBorder="1" applyAlignment="1">
      <alignment horizontal="center"/>
    </xf>
    <xf numFmtId="43" fontId="58" fillId="33" borderId="0" xfId="0" applyNumberFormat="1" applyFont="1" applyFill="1" applyBorder="1" applyAlignment="1">
      <alignment horizontal="center"/>
    </xf>
    <xf numFmtId="43" fontId="61" fillId="33" borderId="24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74"/>
  <sheetViews>
    <sheetView tabSelected="1" view="pageBreakPreview" zoomScale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L6" sqref="L6"/>
    </sheetView>
  </sheetViews>
  <sheetFormatPr defaultColWidth="9.140625" defaultRowHeight="15"/>
  <cols>
    <col min="1" max="1" width="3.57421875" style="52" customWidth="1"/>
    <col min="2" max="2" width="7.00390625" style="52" customWidth="1"/>
    <col min="3" max="3" width="6.140625" style="53" customWidth="1"/>
    <col min="4" max="4" width="6.8515625" style="54" customWidth="1"/>
    <col min="5" max="5" width="8.7109375" style="54" customWidth="1"/>
    <col min="6" max="6" width="7.00390625" style="55" customWidth="1"/>
    <col min="7" max="8" width="3.57421875" style="52" customWidth="1"/>
    <col min="9" max="9" width="4.8515625" style="52" customWidth="1"/>
    <col min="10" max="10" width="6.421875" style="52" customWidth="1"/>
    <col min="11" max="11" width="7.140625" style="56" customWidth="1"/>
    <col min="12" max="12" width="9.57421875" style="109" customWidth="1"/>
    <col min="13" max="13" width="3.421875" style="52" customWidth="1"/>
    <col min="14" max="14" width="9.28125" style="52" customWidth="1"/>
    <col min="15" max="15" width="8.28125" style="52" customWidth="1"/>
    <col min="16" max="16" width="8.28125" style="53" customWidth="1"/>
    <col min="17" max="17" width="8.28125" style="52" customWidth="1"/>
    <col min="18" max="18" width="8.00390625" style="57" customWidth="1"/>
    <col min="19" max="19" width="8.28125" style="52" customWidth="1"/>
    <col min="20" max="20" width="10.140625" style="3" customWidth="1"/>
    <col min="21" max="21" width="6.28125" style="58" customWidth="1"/>
    <col min="22" max="22" width="8.7109375" style="3" customWidth="1"/>
    <col min="23" max="23" width="11.00390625" style="3" customWidth="1"/>
    <col min="24" max="24" width="10.00390625" style="118" customWidth="1"/>
    <col min="25" max="25" width="10.28125" style="118" customWidth="1"/>
    <col min="26" max="26" width="10.8515625" style="3" customWidth="1"/>
    <col min="27" max="27" width="9.00390625" style="3" customWidth="1"/>
    <col min="28" max="28" width="5.421875" style="3" customWidth="1"/>
    <col min="29" max="29" width="8.7109375" style="3" hidden="1" customWidth="1"/>
    <col min="30" max="30" width="6.57421875" style="27" hidden="1" customWidth="1"/>
    <col min="31" max="31" width="7.28125" style="11" hidden="1" customWidth="1"/>
    <col min="32" max="16384" width="9.00390625" style="60" customWidth="1"/>
  </cols>
  <sheetData>
    <row r="1" spans="1:230" s="28" customFormat="1" ht="21">
      <c r="A1" s="156" t="s">
        <v>1857</v>
      </c>
      <c r="B1" s="156"/>
      <c r="C1" s="156"/>
      <c r="D1" s="157"/>
      <c r="E1" s="156"/>
      <c r="F1" s="156"/>
      <c r="G1" s="156"/>
      <c r="H1" s="156"/>
      <c r="I1" s="156"/>
      <c r="J1" s="156"/>
      <c r="K1" s="156"/>
      <c r="L1" s="158"/>
      <c r="M1" s="156"/>
      <c r="N1" s="156"/>
      <c r="O1" s="156"/>
      <c r="P1" s="156"/>
      <c r="Q1" s="156"/>
      <c r="R1" s="159"/>
      <c r="S1" s="156"/>
      <c r="T1" s="158"/>
      <c r="U1" s="156"/>
      <c r="V1" s="158"/>
      <c r="W1" s="158"/>
      <c r="X1" s="156"/>
      <c r="Y1" s="158"/>
      <c r="Z1" s="158"/>
      <c r="AA1" s="141" t="s">
        <v>1858</v>
      </c>
      <c r="AB1" s="142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</row>
    <row r="2" spans="1:230" s="32" customFormat="1" ht="21">
      <c r="A2" s="64" t="s">
        <v>0</v>
      </c>
      <c r="B2" s="64"/>
      <c r="C2" s="65"/>
      <c r="D2" s="66"/>
      <c r="E2" s="64"/>
      <c r="F2" s="64"/>
      <c r="G2" s="148" t="s">
        <v>56</v>
      </c>
      <c r="H2" s="148"/>
      <c r="I2" s="148"/>
      <c r="J2" s="149"/>
      <c r="K2" s="149"/>
      <c r="L2" s="150"/>
      <c r="M2" s="151" t="s">
        <v>57</v>
      </c>
      <c r="N2" s="149"/>
      <c r="O2" s="149"/>
      <c r="P2" s="149"/>
      <c r="Q2" s="149"/>
      <c r="R2" s="152"/>
      <c r="S2" s="149"/>
      <c r="T2" s="153"/>
      <c r="U2" s="149"/>
      <c r="V2" s="153"/>
      <c r="W2" s="150"/>
      <c r="X2" s="64" t="s">
        <v>34</v>
      </c>
      <c r="Y2" s="67" t="s">
        <v>31</v>
      </c>
      <c r="Z2" s="68" t="s">
        <v>44</v>
      </c>
      <c r="AA2" s="68" t="s">
        <v>43</v>
      </c>
      <c r="AB2" s="64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</row>
    <row r="3" spans="1:230" s="32" customFormat="1" ht="21.75" customHeight="1">
      <c r="A3" s="37" t="s">
        <v>38</v>
      </c>
      <c r="B3" s="37" t="s">
        <v>42</v>
      </c>
      <c r="C3" s="69" t="s">
        <v>902</v>
      </c>
      <c r="D3" s="37" t="s">
        <v>29</v>
      </c>
      <c r="E3" s="70" t="s">
        <v>903</v>
      </c>
      <c r="F3" s="71" t="s">
        <v>41</v>
      </c>
      <c r="G3" s="154" t="s">
        <v>40</v>
      </c>
      <c r="H3" s="148"/>
      <c r="I3" s="155"/>
      <c r="J3" s="72" t="s">
        <v>39</v>
      </c>
      <c r="K3" s="73" t="s">
        <v>35</v>
      </c>
      <c r="L3" s="107" t="s">
        <v>34</v>
      </c>
      <c r="M3" s="38" t="s">
        <v>38</v>
      </c>
      <c r="N3" s="33" t="s">
        <v>37</v>
      </c>
      <c r="O3" s="34" t="s">
        <v>41</v>
      </c>
      <c r="P3" s="35" t="s">
        <v>41</v>
      </c>
      <c r="Q3" s="62" t="s">
        <v>36</v>
      </c>
      <c r="R3" s="74" t="s">
        <v>22</v>
      </c>
      <c r="S3" s="37" t="s">
        <v>35</v>
      </c>
      <c r="T3" s="36" t="s">
        <v>34</v>
      </c>
      <c r="U3" s="143" t="s">
        <v>11</v>
      </c>
      <c r="V3" s="144"/>
      <c r="W3" s="36" t="s">
        <v>31</v>
      </c>
      <c r="X3" s="38" t="s">
        <v>33</v>
      </c>
      <c r="Y3" s="75" t="s">
        <v>1859</v>
      </c>
      <c r="Z3" s="39" t="s">
        <v>32</v>
      </c>
      <c r="AA3" s="39" t="s">
        <v>31</v>
      </c>
      <c r="AB3" s="38" t="s">
        <v>30</v>
      </c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</row>
    <row r="4" spans="1:230" s="32" customFormat="1" ht="36" customHeight="1">
      <c r="A4" s="37" t="s">
        <v>0</v>
      </c>
      <c r="B4" s="37" t="s">
        <v>58</v>
      </c>
      <c r="C4" s="69" t="s">
        <v>904</v>
      </c>
      <c r="D4" s="76"/>
      <c r="E4" s="70" t="s">
        <v>1860</v>
      </c>
      <c r="F4" s="71" t="s">
        <v>905</v>
      </c>
      <c r="G4" s="145" t="s">
        <v>28</v>
      </c>
      <c r="H4" s="146"/>
      <c r="I4" s="147"/>
      <c r="J4" s="77" t="s">
        <v>27</v>
      </c>
      <c r="K4" s="78" t="s">
        <v>25</v>
      </c>
      <c r="L4" s="36" t="s">
        <v>24</v>
      </c>
      <c r="M4" s="38"/>
      <c r="N4" s="37" t="s">
        <v>9</v>
      </c>
      <c r="O4" s="34" t="s">
        <v>9</v>
      </c>
      <c r="P4" s="35" t="s">
        <v>905</v>
      </c>
      <c r="Q4" s="62" t="s">
        <v>26</v>
      </c>
      <c r="R4" s="74" t="s">
        <v>1861</v>
      </c>
      <c r="S4" s="37" t="s">
        <v>1862</v>
      </c>
      <c r="T4" s="37" t="s">
        <v>9</v>
      </c>
      <c r="U4" s="37" t="s">
        <v>23</v>
      </c>
      <c r="V4" s="36" t="s">
        <v>22</v>
      </c>
      <c r="W4" s="36" t="s">
        <v>9</v>
      </c>
      <c r="X4" s="38" t="s">
        <v>21</v>
      </c>
      <c r="Y4" s="75" t="s">
        <v>9</v>
      </c>
      <c r="Z4" s="39" t="s">
        <v>20</v>
      </c>
      <c r="AA4" s="39" t="s">
        <v>19</v>
      </c>
      <c r="AB4" s="38" t="s">
        <v>18</v>
      </c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</row>
    <row r="5" spans="1:230" s="32" customFormat="1" ht="18.75" customHeight="1">
      <c r="A5" s="37" t="s">
        <v>0</v>
      </c>
      <c r="B5" s="37"/>
      <c r="C5" s="69"/>
      <c r="D5" s="76"/>
      <c r="E5" s="71" t="s">
        <v>1863</v>
      </c>
      <c r="F5" s="79" t="s">
        <v>17</v>
      </c>
      <c r="G5" s="64"/>
      <c r="H5" s="64"/>
      <c r="I5" s="64"/>
      <c r="J5" s="77" t="s">
        <v>16</v>
      </c>
      <c r="K5" s="78" t="s">
        <v>15</v>
      </c>
      <c r="L5" s="36" t="s">
        <v>58</v>
      </c>
      <c r="M5" s="38"/>
      <c r="N5" s="38"/>
      <c r="O5" s="37"/>
      <c r="P5" s="35" t="s">
        <v>17</v>
      </c>
      <c r="Q5" s="39" t="s">
        <v>14</v>
      </c>
      <c r="R5" s="74" t="s">
        <v>1864</v>
      </c>
      <c r="S5" s="38" t="s">
        <v>1865</v>
      </c>
      <c r="T5" s="36"/>
      <c r="U5" s="34" t="s">
        <v>12</v>
      </c>
      <c r="V5" s="36" t="s">
        <v>11</v>
      </c>
      <c r="W5" s="62" t="s">
        <v>10</v>
      </c>
      <c r="X5" s="38" t="s">
        <v>9</v>
      </c>
      <c r="Y5" s="75" t="s">
        <v>1866</v>
      </c>
      <c r="Z5" s="39" t="s">
        <v>8</v>
      </c>
      <c r="AA5" s="39" t="s">
        <v>1867</v>
      </c>
      <c r="AB5" s="38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</row>
    <row r="6" spans="1:230" s="32" customFormat="1" ht="21">
      <c r="A6" s="38" t="s">
        <v>0</v>
      </c>
      <c r="B6" s="38"/>
      <c r="C6" s="80"/>
      <c r="D6" s="81"/>
      <c r="E6" s="82"/>
      <c r="F6" s="82"/>
      <c r="G6" s="38" t="s">
        <v>7</v>
      </c>
      <c r="H6" s="38" t="s">
        <v>6</v>
      </c>
      <c r="I6" s="38" t="s">
        <v>59</v>
      </c>
      <c r="J6" s="77"/>
      <c r="K6" s="83" t="s">
        <v>3</v>
      </c>
      <c r="L6" s="39" t="s">
        <v>3</v>
      </c>
      <c r="M6" s="38"/>
      <c r="N6" s="84"/>
      <c r="O6" s="38"/>
      <c r="P6" s="40"/>
      <c r="Q6" s="39"/>
      <c r="R6" s="74" t="s">
        <v>17</v>
      </c>
      <c r="S6" s="38" t="s">
        <v>3</v>
      </c>
      <c r="T6" s="39" t="s">
        <v>3</v>
      </c>
      <c r="U6" s="38" t="s">
        <v>5</v>
      </c>
      <c r="V6" s="39" t="s">
        <v>3</v>
      </c>
      <c r="W6" s="39" t="s">
        <v>3</v>
      </c>
      <c r="X6" s="38" t="s">
        <v>3</v>
      </c>
      <c r="Y6" s="85" t="s">
        <v>1868</v>
      </c>
      <c r="Z6" s="39" t="s">
        <v>3</v>
      </c>
      <c r="AA6" s="39" t="s">
        <v>1869</v>
      </c>
      <c r="AB6" s="86" t="s">
        <v>4</v>
      </c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</row>
    <row r="7" spans="1:239" s="41" customFormat="1" ht="21">
      <c r="A7" s="38" t="s">
        <v>0</v>
      </c>
      <c r="B7" s="87"/>
      <c r="C7" s="88"/>
      <c r="D7" s="89"/>
      <c r="E7" s="90"/>
      <c r="F7" s="91"/>
      <c r="G7" s="87"/>
      <c r="H7" s="87"/>
      <c r="I7" s="87"/>
      <c r="J7" s="92"/>
      <c r="K7" s="93"/>
      <c r="L7" s="108"/>
      <c r="M7" s="87"/>
      <c r="N7" s="87"/>
      <c r="O7" s="87"/>
      <c r="P7" s="95"/>
      <c r="Q7" s="87"/>
      <c r="R7" s="96" t="s">
        <v>4</v>
      </c>
      <c r="S7" s="97"/>
      <c r="T7" s="98"/>
      <c r="U7" s="87"/>
      <c r="V7" s="98"/>
      <c r="W7" s="98"/>
      <c r="X7" s="87"/>
      <c r="Y7" s="99" t="s">
        <v>3</v>
      </c>
      <c r="Z7" s="98"/>
      <c r="AA7" s="99" t="s">
        <v>3</v>
      </c>
      <c r="AB7" s="87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IC7" s="32"/>
      <c r="ID7" s="32"/>
      <c r="IE7" s="32"/>
    </row>
    <row r="8" spans="1:31" s="7" customFormat="1" ht="23.25">
      <c r="A8" s="42" t="s">
        <v>0</v>
      </c>
      <c r="B8" s="42" t="s">
        <v>1</v>
      </c>
      <c r="C8" s="45">
        <v>52070</v>
      </c>
      <c r="D8" s="45" t="s">
        <v>496</v>
      </c>
      <c r="E8" s="29" t="s">
        <v>907</v>
      </c>
      <c r="F8" s="47">
        <v>4</v>
      </c>
      <c r="G8" s="42"/>
      <c r="H8" s="42"/>
      <c r="I8" s="44">
        <v>39.6</v>
      </c>
      <c r="J8" s="44">
        <f aca="true" t="shared" si="0" ref="J8:J20">+I8+(H8*100)+(G8*400)</f>
        <v>39.6</v>
      </c>
      <c r="K8" s="42">
        <v>8000</v>
      </c>
      <c r="L8" s="12">
        <f aca="true" t="shared" si="1" ref="L8:L52">+K8*J8</f>
        <v>316800</v>
      </c>
      <c r="M8" s="42"/>
      <c r="N8" s="42"/>
      <c r="O8" s="100"/>
      <c r="P8" s="45"/>
      <c r="Q8" s="100"/>
      <c r="R8" s="100"/>
      <c r="S8" s="42"/>
      <c r="T8" s="12">
        <f aca="true" t="shared" si="2" ref="T8:T20">+Q8*S8</f>
        <v>0</v>
      </c>
      <c r="U8" s="45"/>
      <c r="V8" s="12">
        <f>+T8*0</f>
        <v>0</v>
      </c>
      <c r="W8" s="12">
        <f aca="true" t="shared" si="3" ref="W8:W20">+T8-V8</f>
        <v>0</v>
      </c>
      <c r="X8" s="116"/>
      <c r="Y8" s="117">
        <f aca="true" t="shared" si="4" ref="Y8:Y20">+L8+W8</f>
        <v>316800</v>
      </c>
      <c r="Z8" s="12"/>
      <c r="AA8" s="12">
        <f>+Y8-Z8</f>
        <v>316800</v>
      </c>
      <c r="AB8" s="12">
        <v>0.3</v>
      </c>
      <c r="AC8" s="12">
        <f aca="true" t="shared" si="5" ref="AC8:AC20">+AA8*AB8/100</f>
        <v>950.4</v>
      </c>
      <c r="AD8" s="42"/>
      <c r="AE8" s="12"/>
    </row>
    <row r="9" spans="1:31" s="7" customFormat="1" ht="23.25">
      <c r="A9" s="42"/>
      <c r="B9" s="42"/>
      <c r="C9" s="45"/>
      <c r="D9" s="45"/>
      <c r="E9" s="45"/>
      <c r="F9" s="47"/>
      <c r="G9" s="42"/>
      <c r="H9" s="42"/>
      <c r="I9" s="44"/>
      <c r="J9" s="44">
        <f t="shared" si="0"/>
        <v>0</v>
      </c>
      <c r="K9" s="42"/>
      <c r="L9" s="42">
        <f t="shared" si="1"/>
        <v>0</v>
      </c>
      <c r="M9" s="42"/>
      <c r="N9" s="5"/>
      <c r="O9" s="6"/>
      <c r="P9" s="13"/>
      <c r="Q9" s="6"/>
      <c r="R9" s="6"/>
      <c r="S9" s="5"/>
      <c r="T9" s="12">
        <f t="shared" si="2"/>
        <v>0</v>
      </c>
      <c r="U9" s="45"/>
      <c r="V9" s="12">
        <f>+T9*0</f>
        <v>0</v>
      </c>
      <c r="W9" s="12">
        <f t="shared" si="3"/>
        <v>0</v>
      </c>
      <c r="X9" s="116"/>
      <c r="Y9" s="117">
        <f t="shared" si="4"/>
        <v>0</v>
      </c>
      <c r="Z9" s="12"/>
      <c r="AA9" s="12">
        <f>+Y9-Z9</f>
        <v>0</v>
      </c>
      <c r="AB9" s="12"/>
      <c r="AC9" s="12">
        <f t="shared" si="5"/>
        <v>0</v>
      </c>
      <c r="AD9" s="42"/>
      <c r="AE9" s="42"/>
    </row>
    <row r="10" spans="1:31" s="7" customFormat="1" ht="23.25">
      <c r="A10" s="42"/>
      <c r="B10" s="42"/>
      <c r="C10" s="45"/>
      <c r="D10" s="45"/>
      <c r="E10" s="45"/>
      <c r="F10" s="47"/>
      <c r="G10" s="42"/>
      <c r="H10" s="42"/>
      <c r="I10" s="44"/>
      <c r="J10" s="44">
        <f t="shared" si="0"/>
        <v>0</v>
      </c>
      <c r="K10" s="42"/>
      <c r="L10" s="42">
        <f t="shared" si="1"/>
        <v>0</v>
      </c>
      <c r="M10" s="42"/>
      <c r="N10" s="42"/>
      <c r="O10" s="42"/>
      <c r="P10" s="45"/>
      <c r="Q10" s="42"/>
      <c r="R10" s="42"/>
      <c r="S10" s="42"/>
      <c r="T10" s="12">
        <f t="shared" si="2"/>
        <v>0</v>
      </c>
      <c r="U10" s="45"/>
      <c r="V10" s="12">
        <f>+T10*0</f>
        <v>0</v>
      </c>
      <c r="W10" s="12">
        <f t="shared" si="3"/>
        <v>0</v>
      </c>
      <c r="X10" s="116"/>
      <c r="Y10" s="117">
        <f t="shared" si="4"/>
        <v>0</v>
      </c>
      <c r="Z10" s="12"/>
      <c r="AA10" s="12">
        <f>+Y10-Z10</f>
        <v>0</v>
      </c>
      <c r="AB10" s="12"/>
      <c r="AC10" s="12">
        <f t="shared" si="5"/>
        <v>0</v>
      </c>
      <c r="AD10" s="42"/>
      <c r="AE10" s="42"/>
    </row>
    <row r="11" spans="1:31" s="7" customFormat="1" ht="23.25">
      <c r="A11" s="42" t="s">
        <v>0</v>
      </c>
      <c r="B11" s="42" t="s">
        <v>1</v>
      </c>
      <c r="C11" s="45" t="s">
        <v>1149</v>
      </c>
      <c r="D11" s="45" t="s">
        <v>497</v>
      </c>
      <c r="E11" s="10" t="s">
        <v>910</v>
      </c>
      <c r="F11" s="47">
        <v>1</v>
      </c>
      <c r="G11" s="42">
        <v>1</v>
      </c>
      <c r="H11" s="42"/>
      <c r="I11" s="44">
        <v>14.8</v>
      </c>
      <c r="J11" s="44">
        <f t="shared" si="0"/>
        <v>414.8</v>
      </c>
      <c r="K11" s="42">
        <v>200</v>
      </c>
      <c r="L11" s="12">
        <f t="shared" si="1"/>
        <v>82960</v>
      </c>
      <c r="M11" s="42"/>
      <c r="N11" s="42"/>
      <c r="O11" s="100"/>
      <c r="P11" s="45"/>
      <c r="Q11" s="100"/>
      <c r="R11" s="100"/>
      <c r="S11" s="42"/>
      <c r="T11" s="12">
        <f t="shared" si="2"/>
        <v>0</v>
      </c>
      <c r="U11" s="45"/>
      <c r="V11" s="12">
        <f>+T11*0</f>
        <v>0</v>
      </c>
      <c r="W11" s="12">
        <f t="shared" si="3"/>
        <v>0</v>
      </c>
      <c r="X11" s="116"/>
      <c r="Y11" s="117">
        <f t="shared" si="4"/>
        <v>82960</v>
      </c>
      <c r="Z11" s="12">
        <f>+Y11</f>
        <v>82960</v>
      </c>
      <c r="AA11" s="12">
        <f>+Y11-Z11</f>
        <v>0</v>
      </c>
      <c r="AB11" s="12"/>
      <c r="AC11" s="12">
        <f t="shared" si="5"/>
        <v>0</v>
      </c>
      <c r="AD11" s="42"/>
      <c r="AE11" s="12"/>
    </row>
    <row r="12" spans="1:31" s="7" customFormat="1" ht="23.25">
      <c r="A12" s="42" t="s">
        <v>0</v>
      </c>
      <c r="B12" s="42" t="s">
        <v>1</v>
      </c>
      <c r="C12" s="45" t="s">
        <v>1150</v>
      </c>
      <c r="D12" s="48" t="s">
        <v>498</v>
      </c>
      <c r="E12" s="29" t="s">
        <v>907</v>
      </c>
      <c r="F12" s="47">
        <v>2</v>
      </c>
      <c r="G12" s="42"/>
      <c r="H12" s="42">
        <v>1</v>
      </c>
      <c r="I12" s="44">
        <v>72</v>
      </c>
      <c r="J12" s="44">
        <f t="shared" si="0"/>
        <v>172</v>
      </c>
      <c r="K12" s="42">
        <v>6000</v>
      </c>
      <c r="L12" s="12">
        <f t="shared" si="1"/>
        <v>1032000</v>
      </c>
      <c r="M12" s="42"/>
      <c r="N12" s="42" t="s">
        <v>64</v>
      </c>
      <c r="O12" s="101" t="s">
        <v>446</v>
      </c>
      <c r="P12" s="45" t="s">
        <v>137</v>
      </c>
      <c r="Q12" s="100">
        <v>108</v>
      </c>
      <c r="R12" s="100"/>
      <c r="S12" s="42">
        <v>6550</v>
      </c>
      <c r="T12" s="12">
        <f t="shared" si="2"/>
        <v>707400</v>
      </c>
      <c r="U12" s="102" t="s">
        <v>95</v>
      </c>
      <c r="V12" s="12">
        <f>+T12*0.48</f>
        <v>339552</v>
      </c>
      <c r="W12" s="12">
        <f t="shared" si="3"/>
        <v>367848</v>
      </c>
      <c r="X12" s="116"/>
      <c r="Y12" s="117">
        <f t="shared" si="4"/>
        <v>1399848</v>
      </c>
      <c r="Z12" s="12">
        <f>+Y12</f>
        <v>1399848</v>
      </c>
      <c r="AA12" s="12">
        <f>+Y12-Z12</f>
        <v>0</v>
      </c>
      <c r="AB12" s="12"/>
      <c r="AC12" s="12">
        <f t="shared" si="5"/>
        <v>0</v>
      </c>
      <c r="AD12" s="31" t="s">
        <v>906</v>
      </c>
      <c r="AE12" s="12"/>
    </row>
    <row r="13" spans="1:31" s="7" customFormat="1" ht="23.25">
      <c r="A13" s="42"/>
      <c r="B13" s="42"/>
      <c r="C13" s="45"/>
      <c r="D13" s="45"/>
      <c r="E13" s="45"/>
      <c r="F13" s="47"/>
      <c r="G13" s="42"/>
      <c r="H13" s="42"/>
      <c r="I13" s="44"/>
      <c r="J13" s="44">
        <f t="shared" si="0"/>
        <v>0</v>
      </c>
      <c r="K13" s="42"/>
      <c r="L13" s="42">
        <f t="shared" si="1"/>
        <v>0</v>
      </c>
      <c r="M13" s="42"/>
      <c r="N13" s="42"/>
      <c r="O13" s="42"/>
      <c r="P13" s="45"/>
      <c r="Q13" s="42"/>
      <c r="R13" s="42"/>
      <c r="S13" s="42"/>
      <c r="T13" s="12">
        <f t="shared" si="2"/>
        <v>0</v>
      </c>
      <c r="U13" s="45"/>
      <c r="V13" s="12">
        <f>+T13*0</f>
        <v>0</v>
      </c>
      <c r="W13" s="12">
        <f t="shared" si="3"/>
        <v>0</v>
      </c>
      <c r="X13" s="116"/>
      <c r="Y13" s="117">
        <f t="shared" si="4"/>
        <v>0</v>
      </c>
      <c r="Z13" s="12"/>
      <c r="AA13" s="12">
        <f aca="true" t="shared" si="6" ref="AA13:AA20">+Y13-Z13</f>
        <v>0</v>
      </c>
      <c r="AB13" s="12"/>
      <c r="AC13" s="12">
        <f t="shared" si="5"/>
        <v>0</v>
      </c>
      <c r="AD13" s="42"/>
      <c r="AE13" s="42"/>
    </row>
    <row r="14" spans="1:31" s="7" customFormat="1" ht="23.25">
      <c r="A14" s="42"/>
      <c r="B14" s="42"/>
      <c r="C14" s="45"/>
      <c r="D14" s="45"/>
      <c r="E14" s="45"/>
      <c r="F14" s="47"/>
      <c r="G14" s="42"/>
      <c r="H14" s="42"/>
      <c r="I14" s="44"/>
      <c r="J14" s="44">
        <f t="shared" si="0"/>
        <v>0</v>
      </c>
      <c r="K14" s="42"/>
      <c r="L14" s="42">
        <f t="shared" si="1"/>
        <v>0</v>
      </c>
      <c r="M14" s="42"/>
      <c r="N14" s="42"/>
      <c r="O14" s="42"/>
      <c r="P14" s="45"/>
      <c r="Q14" s="42"/>
      <c r="R14" s="42"/>
      <c r="S14" s="42"/>
      <c r="T14" s="12">
        <f t="shared" si="2"/>
        <v>0</v>
      </c>
      <c r="U14" s="45"/>
      <c r="V14" s="12">
        <f>+T14*0</f>
        <v>0</v>
      </c>
      <c r="W14" s="12">
        <f t="shared" si="3"/>
        <v>0</v>
      </c>
      <c r="X14" s="116"/>
      <c r="Y14" s="117">
        <f t="shared" si="4"/>
        <v>0</v>
      </c>
      <c r="Z14" s="12"/>
      <c r="AA14" s="12">
        <f t="shared" si="6"/>
        <v>0</v>
      </c>
      <c r="AB14" s="12"/>
      <c r="AC14" s="12">
        <f t="shared" si="5"/>
        <v>0</v>
      </c>
      <c r="AD14" s="42"/>
      <c r="AE14" s="42"/>
    </row>
    <row r="15" spans="1:31" s="7" customFormat="1" ht="23.25">
      <c r="A15" s="42" t="s">
        <v>0</v>
      </c>
      <c r="B15" s="42" t="s">
        <v>1</v>
      </c>
      <c r="C15" s="45" t="s">
        <v>1151</v>
      </c>
      <c r="D15" s="48" t="s">
        <v>499</v>
      </c>
      <c r="E15" s="10" t="s">
        <v>909</v>
      </c>
      <c r="F15" s="47" t="s">
        <v>143</v>
      </c>
      <c r="G15" s="42"/>
      <c r="H15" s="42"/>
      <c r="I15" s="44">
        <v>22.4</v>
      </c>
      <c r="J15" s="44">
        <f t="shared" si="0"/>
        <v>22.4</v>
      </c>
      <c r="K15" s="42">
        <v>30000</v>
      </c>
      <c r="L15" s="12">
        <f t="shared" si="1"/>
        <v>672000</v>
      </c>
      <c r="M15" s="42"/>
      <c r="N15" s="42" t="s">
        <v>60</v>
      </c>
      <c r="O15" s="101" t="s">
        <v>446</v>
      </c>
      <c r="P15" s="45" t="s">
        <v>143</v>
      </c>
      <c r="Q15" s="100">
        <v>144</v>
      </c>
      <c r="R15" s="100"/>
      <c r="S15" s="42">
        <v>7550</v>
      </c>
      <c r="T15" s="12">
        <f t="shared" si="2"/>
        <v>1087200</v>
      </c>
      <c r="U15" s="45" t="s">
        <v>337</v>
      </c>
      <c r="V15" s="12">
        <f>+T15*0.06</f>
        <v>65232</v>
      </c>
      <c r="W15" s="12">
        <f t="shared" si="3"/>
        <v>1021968</v>
      </c>
      <c r="X15" s="116"/>
      <c r="Y15" s="117">
        <f t="shared" si="4"/>
        <v>1693968</v>
      </c>
      <c r="Z15" s="12"/>
      <c r="AA15" s="12">
        <f t="shared" si="6"/>
        <v>1693968</v>
      </c>
      <c r="AB15" s="12">
        <v>0.3</v>
      </c>
      <c r="AC15" s="12">
        <f t="shared" si="5"/>
        <v>5081.9039999999995</v>
      </c>
      <c r="AD15" s="42"/>
      <c r="AE15" s="12"/>
    </row>
    <row r="16" spans="1:31" s="7" customFormat="1" ht="23.25">
      <c r="A16" s="42"/>
      <c r="B16" s="42"/>
      <c r="C16" s="45"/>
      <c r="D16" s="45"/>
      <c r="E16" s="45"/>
      <c r="F16" s="47"/>
      <c r="G16" s="42"/>
      <c r="H16" s="42"/>
      <c r="I16" s="44"/>
      <c r="J16" s="44">
        <f t="shared" si="0"/>
        <v>0</v>
      </c>
      <c r="K16" s="42"/>
      <c r="L16" s="42">
        <f t="shared" si="1"/>
        <v>0</v>
      </c>
      <c r="M16" s="42"/>
      <c r="N16" s="5"/>
      <c r="O16" s="6"/>
      <c r="P16" s="13"/>
      <c r="Q16" s="6"/>
      <c r="R16" s="6"/>
      <c r="S16" s="5"/>
      <c r="T16" s="12">
        <f t="shared" si="2"/>
        <v>0</v>
      </c>
      <c r="U16" s="45"/>
      <c r="V16" s="12">
        <f>+T16*0</f>
        <v>0</v>
      </c>
      <c r="W16" s="12">
        <f t="shared" si="3"/>
        <v>0</v>
      </c>
      <c r="X16" s="116"/>
      <c r="Y16" s="117">
        <f t="shared" si="4"/>
        <v>0</v>
      </c>
      <c r="Z16" s="12"/>
      <c r="AA16" s="12">
        <f t="shared" si="6"/>
        <v>0</v>
      </c>
      <c r="AB16" s="12"/>
      <c r="AC16" s="12">
        <f t="shared" si="5"/>
        <v>0</v>
      </c>
      <c r="AD16" s="42"/>
      <c r="AE16" s="42"/>
    </row>
    <row r="17" spans="1:31" s="7" customFormat="1" ht="23.25">
      <c r="A17" s="42"/>
      <c r="B17" s="42"/>
      <c r="C17" s="45"/>
      <c r="D17" s="45"/>
      <c r="E17" s="45"/>
      <c r="F17" s="47"/>
      <c r="G17" s="42"/>
      <c r="H17" s="42"/>
      <c r="I17" s="44"/>
      <c r="J17" s="44">
        <f t="shared" si="0"/>
        <v>0</v>
      </c>
      <c r="K17" s="42"/>
      <c r="L17" s="42">
        <f t="shared" si="1"/>
        <v>0</v>
      </c>
      <c r="M17" s="42"/>
      <c r="N17" s="42"/>
      <c r="O17" s="42"/>
      <c r="P17" s="45"/>
      <c r="Q17" s="42"/>
      <c r="R17" s="42"/>
      <c r="S17" s="42"/>
      <c r="T17" s="12">
        <f t="shared" si="2"/>
        <v>0</v>
      </c>
      <c r="U17" s="45"/>
      <c r="V17" s="12">
        <f>+T17*0</f>
        <v>0</v>
      </c>
      <c r="W17" s="12">
        <f t="shared" si="3"/>
        <v>0</v>
      </c>
      <c r="X17" s="116"/>
      <c r="Y17" s="117">
        <f t="shared" si="4"/>
        <v>0</v>
      </c>
      <c r="Z17" s="12"/>
      <c r="AA17" s="12">
        <f t="shared" si="6"/>
        <v>0</v>
      </c>
      <c r="AB17" s="12"/>
      <c r="AC17" s="12">
        <f t="shared" si="5"/>
        <v>0</v>
      </c>
      <c r="AD17" s="42"/>
      <c r="AE17" s="42"/>
    </row>
    <row r="18" spans="1:31" s="7" customFormat="1" ht="23.25">
      <c r="A18" s="42" t="s">
        <v>0</v>
      </c>
      <c r="B18" s="42" t="s">
        <v>1</v>
      </c>
      <c r="C18" s="45" t="s">
        <v>1152</v>
      </c>
      <c r="D18" s="45" t="s">
        <v>500</v>
      </c>
      <c r="E18" s="29" t="s">
        <v>907</v>
      </c>
      <c r="F18" s="47">
        <v>2</v>
      </c>
      <c r="G18" s="42"/>
      <c r="H18" s="42">
        <v>1</v>
      </c>
      <c r="I18" s="44">
        <v>54.8</v>
      </c>
      <c r="J18" s="44">
        <f t="shared" si="0"/>
        <v>154.8</v>
      </c>
      <c r="K18" s="42">
        <v>15000</v>
      </c>
      <c r="L18" s="12">
        <f t="shared" si="1"/>
        <v>2322000</v>
      </c>
      <c r="M18" s="42"/>
      <c r="N18" s="42" t="s">
        <v>64</v>
      </c>
      <c r="O18" s="101" t="s">
        <v>446</v>
      </c>
      <c r="P18" s="45" t="s">
        <v>137</v>
      </c>
      <c r="Q18" s="100">
        <v>209.52</v>
      </c>
      <c r="R18" s="100"/>
      <c r="S18" s="42">
        <v>6550</v>
      </c>
      <c r="T18" s="12">
        <f t="shared" si="2"/>
        <v>1372356</v>
      </c>
      <c r="U18" s="102" t="s">
        <v>83</v>
      </c>
      <c r="V18" s="12">
        <f>+T18*0.18</f>
        <v>247024.08</v>
      </c>
      <c r="W18" s="12">
        <f t="shared" si="3"/>
        <v>1125331.92</v>
      </c>
      <c r="X18" s="116"/>
      <c r="Y18" s="117">
        <f t="shared" si="4"/>
        <v>3447331.92</v>
      </c>
      <c r="Z18" s="12">
        <f>+Y18</f>
        <v>3447331.92</v>
      </c>
      <c r="AA18" s="12">
        <f t="shared" si="6"/>
        <v>0</v>
      </c>
      <c r="AB18" s="12"/>
      <c r="AC18" s="12">
        <f t="shared" si="5"/>
        <v>0</v>
      </c>
      <c r="AD18" s="42" t="s">
        <v>906</v>
      </c>
      <c r="AE18" s="42"/>
    </row>
    <row r="19" spans="1:31" s="7" customFormat="1" ht="23.25">
      <c r="A19" s="42"/>
      <c r="B19" s="42"/>
      <c r="C19" s="45"/>
      <c r="D19" s="45"/>
      <c r="E19" s="45"/>
      <c r="F19" s="47"/>
      <c r="G19" s="42"/>
      <c r="H19" s="42"/>
      <c r="I19" s="44"/>
      <c r="J19" s="44">
        <f t="shared" si="0"/>
        <v>0</v>
      </c>
      <c r="K19" s="42"/>
      <c r="L19" s="42">
        <f t="shared" si="1"/>
        <v>0</v>
      </c>
      <c r="M19" s="42"/>
      <c r="N19" s="5"/>
      <c r="O19" s="6"/>
      <c r="P19" s="13"/>
      <c r="Q19" s="6"/>
      <c r="R19" s="6"/>
      <c r="S19" s="5"/>
      <c r="T19" s="12">
        <f t="shared" si="2"/>
        <v>0</v>
      </c>
      <c r="U19" s="45"/>
      <c r="V19" s="12">
        <f>+T19*0</f>
        <v>0</v>
      </c>
      <c r="W19" s="12">
        <f t="shared" si="3"/>
        <v>0</v>
      </c>
      <c r="X19" s="116"/>
      <c r="Y19" s="117">
        <f t="shared" si="4"/>
        <v>0</v>
      </c>
      <c r="Z19" s="12"/>
      <c r="AA19" s="12">
        <f t="shared" si="6"/>
        <v>0</v>
      </c>
      <c r="AB19" s="12"/>
      <c r="AC19" s="12">
        <f t="shared" si="5"/>
        <v>0</v>
      </c>
      <c r="AD19" s="42"/>
      <c r="AE19" s="42"/>
    </row>
    <row r="20" spans="1:31" s="7" customFormat="1" ht="23.25">
      <c r="A20" s="42"/>
      <c r="B20" s="42"/>
      <c r="C20" s="45"/>
      <c r="D20" s="45"/>
      <c r="E20" s="45"/>
      <c r="F20" s="47"/>
      <c r="G20" s="42"/>
      <c r="H20" s="42"/>
      <c r="I20" s="44"/>
      <c r="J20" s="44">
        <f t="shared" si="0"/>
        <v>0</v>
      </c>
      <c r="K20" s="42"/>
      <c r="L20" s="42">
        <f t="shared" si="1"/>
        <v>0</v>
      </c>
      <c r="M20" s="42"/>
      <c r="N20" s="42"/>
      <c r="O20" s="42"/>
      <c r="P20" s="45"/>
      <c r="Q20" s="42"/>
      <c r="R20" s="42"/>
      <c r="S20" s="42"/>
      <c r="T20" s="12">
        <f t="shared" si="2"/>
        <v>0</v>
      </c>
      <c r="U20" s="45"/>
      <c r="V20" s="12">
        <f>+T20*0</f>
        <v>0</v>
      </c>
      <c r="W20" s="12">
        <f t="shared" si="3"/>
        <v>0</v>
      </c>
      <c r="X20" s="116"/>
      <c r="Y20" s="117">
        <f t="shared" si="4"/>
        <v>0</v>
      </c>
      <c r="Z20" s="12"/>
      <c r="AA20" s="12">
        <f t="shared" si="6"/>
        <v>0</v>
      </c>
      <c r="AB20" s="12"/>
      <c r="AC20" s="12">
        <f t="shared" si="5"/>
        <v>0</v>
      </c>
      <c r="AD20" s="42"/>
      <c r="AE20" s="42"/>
    </row>
    <row r="21" spans="1:31" s="7" customFormat="1" ht="23.25">
      <c r="A21" s="42" t="s">
        <v>0</v>
      </c>
      <c r="B21" s="42" t="s">
        <v>1</v>
      </c>
      <c r="C21" s="45" t="s">
        <v>1153</v>
      </c>
      <c r="D21" s="45" t="s">
        <v>501</v>
      </c>
      <c r="E21" s="30" t="s">
        <v>908</v>
      </c>
      <c r="F21" s="47">
        <v>5</v>
      </c>
      <c r="G21" s="42"/>
      <c r="H21" s="42"/>
      <c r="I21" s="44">
        <v>34.1</v>
      </c>
      <c r="J21" s="44">
        <f aca="true" t="shared" si="7" ref="J21:J26">+I21+(H21*100)+(G21*400)</f>
        <v>34.1</v>
      </c>
      <c r="K21" s="42">
        <v>15000</v>
      </c>
      <c r="L21" s="12">
        <f t="shared" si="1"/>
        <v>511500</v>
      </c>
      <c r="M21" s="42">
        <v>1</v>
      </c>
      <c r="N21" s="42" t="s">
        <v>60</v>
      </c>
      <c r="O21" s="101" t="s">
        <v>446</v>
      </c>
      <c r="P21" s="45">
        <v>2</v>
      </c>
      <c r="Q21" s="100">
        <v>96</v>
      </c>
      <c r="R21" s="103">
        <f>+Q21*100/(Q21+Q22)</f>
        <v>50</v>
      </c>
      <c r="S21" s="42">
        <v>7550</v>
      </c>
      <c r="T21" s="12">
        <f aca="true" t="shared" si="8" ref="T21:T26">+Q21*S21</f>
        <v>724800</v>
      </c>
      <c r="U21" s="102" t="s">
        <v>83</v>
      </c>
      <c r="V21" s="12">
        <f>+T21*0.18</f>
        <v>130464</v>
      </c>
      <c r="W21" s="12">
        <f aca="true" t="shared" si="9" ref="W21:W26">+T21-V21</f>
        <v>594336</v>
      </c>
      <c r="X21" s="116"/>
      <c r="Y21" s="117">
        <f>+L21*(R21/100)+W21</f>
        <v>850086</v>
      </c>
      <c r="Z21" s="12"/>
      <c r="AA21" s="12">
        <f aca="true" t="shared" si="10" ref="AA21:AA71">+Y21-Z21</f>
        <v>850086</v>
      </c>
      <c r="AB21" s="12">
        <v>0.02</v>
      </c>
      <c r="AC21" s="12">
        <f aca="true" t="shared" si="11" ref="AC21:AC71">+AA21*AB21/100</f>
        <v>170.0172</v>
      </c>
      <c r="AD21" s="42"/>
      <c r="AE21" s="12"/>
    </row>
    <row r="22" spans="1:31" s="7" customFormat="1" ht="23.25">
      <c r="A22" s="42" t="s">
        <v>0</v>
      </c>
      <c r="B22" s="42"/>
      <c r="C22" s="45"/>
      <c r="D22" s="45"/>
      <c r="E22" s="45"/>
      <c r="F22" s="47"/>
      <c r="G22" s="42"/>
      <c r="H22" s="42"/>
      <c r="I22" s="44"/>
      <c r="J22" s="44">
        <f t="shared" si="7"/>
        <v>0</v>
      </c>
      <c r="K22" s="42"/>
      <c r="L22" s="12">
        <f>+K22*J22</f>
        <v>0</v>
      </c>
      <c r="M22" s="42">
        <v>2</v>
      </c>
      <c r="N22" s="42" t="s">
        <v>60</v>
      </c>
      <c r="O22" s="101" t="s">
        <v>446</v>
      </c>
      <c r="P22" s="45">
        <v>3</v>
      </c>
      <c r="Q22" s="100">
        <v>96</v>
      </c>
      <c r="R22" s="103">
        <f>+Q22*100/(Q21+Q22)</f>
        <v>50</v>
      </c>
      <c r="S22" s="42">
        <v>7550</v>
      </c>
      <c r="T22" s="12">
        <f t="shared" si="8"/>
        <v>724800</v>
      </c>
      <c r="U22" s="102" t="s">
        <v>84</v>
      </c>
      <c r="V22" s="12">
        <f>+T22*0.2</f>
        <v>144960</v>
      </c>
      <c r="W22" s="12">
        <f t="shared" si="9"/>
        <v>579840</v>
      </c>
      <c r="X22" s="116"/>
      <c r="Y22" s="117">
        <f>+L21*(R22/100)+W22</f>
        <v>835590</v>
      </c>
      <c r="Z22" s="12"/>
      <c r="AA22" s="12">
        <f>+Y22-Z22</f>
        <v>835590</v>
      </c>
      <c r="AB22" s="12">
        <v>0.3</v>
      </c>
      <c r="AC22" s="12">
        <f>+AA22*AB22/100</f>
        <v>2506.77</v>
      </c>
      <c r="AD22" s="42"/>
      <c r="AE22" s="12"/>
    </row>
    <row r="23" spans="1:31" s="7" customFormat="1" ht="23.25">
      <c r="A23" s="42" t="s">
        <v>0</v>
      </c>
      <c r="B23" s="42" t="s">
        <v>1</v>
      </c>
      <c r="C23" s="45" t="s">
        <v>1154</v>
      </c>
      <c r="D23" s="45" t="s">
        <v>502</v>
      </c>
      <c r="E23" s="30" t="s">
        <v>908</v>
      </c>
      <c r="F23" s="47">
        <v>3</v>
      </c>
      <c r="G23" s="42"/>
      <c r="H23" s="42"/>
      <c r="I23" s="44">
        <v>16</v>
      </c>
      <c r="J23" s="44">
        <f t="shared" si="7"/>
        <v>16</v>
      </c>
      <c r="K23" s="42">
        <v>15000</v>
      </c>
      <c r="L23" s="12">
        <f t="shared" si="1"/>
        <v>240000</v>
      </c>
      <c r="M23" s="42"/>
      <c r="N23" s="42" t="s">
        <v>60</v>
      </c>
      <c r="O23" s="101" t="s">
        <v>446</v>
      </c>
      <c r="P23" s="45">
        <v>3</v>
      </c>
      <c r="Q23" s="100">
        <v>144</v>
      </c>
      <c r="R23" s="100"/>
      <c r="S23" s="42">
        <v>7550</v>
      </c>
      <c r="T23" s="12">
        <f t="shared" si="8"/>
        <v>1087200</v>
      </c>
      <c r="U23" s="102" t="s">
        <v>84</v>
      </c>
      <c r="V23" s="12">
        <f>+T23*0.2</f>
        <v>217440</v>
      </c>
      <c r="W23" s="12">
        <f t="shared" si="9"/>
        <v>869760</v>
      </c>
      <c r="X23" s="116"/>
      <c r="Y23" s="117">
        <f aca="true" t="shared" si="12" ref="Y23:Y52">+L23+W23</f>
        <v>1109760</v>
      </c>
      <c r="Z23" s="12"/>
      <c r="AA23" s="12">
        <f t="shared" si="10"/>
        <v>1109760</v>
      </c>
      <c r="AB23" s="12">
        <v>0.3</v>
      </c>
      <c r="AC23" s="12">
        <f t="shared" si="11"/>
        <v>3329.28</v>
      </c>
      <c r="AD23" s="42" t="s">
        <v>890</v>
      </c>
      <c r="AE23" s="12"/>
    </row>
    <row r="24" spans="1:31" s="7" customFormat="1" ht="23.25">
      <c r="A24" s="42" t="s">
        <v>0</v>
      </c>
      <c r="B24" s="42" t="s">
        <v>1</v>
      </c>
      <c r="C24" s="45" t="s">
        <v>1155</v>
      </c>
      <c r="D24" s="45" t="s">
        <v>503</v>
      </c>
      <c r="E24" s="30" t="s">
        <v>908</v>
      </c>
      <c r="F24" s="47">
        <v>3</v>
      </c>
      <c r="G24" s="42"/>
      <c r="H24" s="42"/>
      <c r="I24" s="44">
        <v>16.5</v>
      </c>
      <c r="J24" s="44">
        <f t="shared" si="7"/>
        <v>16.5</v>
      </c>
      <c r="K24" s="42">
        <v>15000</v>
      </c>
      <c r="L24" s="12">
        <f t="shared" si="1"/>
        <v>247500</v>
      </c>
      <c r="M24" s="42"/>
      <c r="N24" s="42" t="s">
        <v>60</v>
      </c>
      <c r="O24" s="101" t="s">
        <v>446</v>
      </c>
      <c r="P24" s="45">
        <v>3</v>
      </c>
      <c r="Q24" s="100">
        <v>144</v>
      </c>
      <c r="R24" s="100"/>
      <c r="S24" s="42">
        <v>7550</v>
      </c>
      <c r="T24" s="12">
        <f t="shared" si="8"/>
        <v>1087200</v>
      </c>
      <c r="U24" s="102" t="s">
        <v>84</v>
      </c>
      <c r="V24" s="12">
        <f>+T24*0.2</f>
        <v>217440</v>
      </c>
      <c r="W24" s="12">
        <f t="shared" si="9"/>
        <v>869760</v>
      </c>
      <c r="X24" s="116"/>
      <c r="Y24" s="117">
        <f t="shared" si="12"/>
        <v>1117260</v>
      </c>
      <c r="Z24" s="12"/>
      <c r="AA24" s="12">
        <f t="shared" si="10"/>
        <v>1117260</v>
      </c>
      <c r="AB24" s="12">
        <v>0.3</v>
      </c>
      <c r="AC24" s="12">
        <f t="shared" si="11"/>
        <v>3351.78</v>
      </c>
      <c r="AD24" s="46" t="s">
        <v>890</v>
      </c>
      <c r="AE24" s="12"/>
    </row>
    <row r="25" spans="1:31" s="7" customFormat="1" ht="23.25">
      <c r="A25" s="42" t="s">
        <v>0</v>
      </c>
      <c r="B25" s="42" t="s">
        <v>1</v>
      </c>
      <c r="C25" s="45" t="s">
        <v>1156</v>
      </c>
      <c r="D25" s="45" t="s">
        <v>504</v>
      </c>
      <c r="E25" s="30" t="s">
        <v>908</v>
      </c>
      <c r="F25" s="47">
        <v>3</v>
      </c>
      <c r="G25" s="42"/>
      <c r="H25" s="42"/>
      <c r="I25" s="44">
        <v>17.3</v>
      </c>
      <c r="J25" s="44">
        <f t="shared" si="7"/>
        <v>17.3</v>
      </c>
      <c r="K25" s="42">
        <v>120000</v>
      </c>
      <c r="L25" s="12">
        <f t="shared" si="1"/>
        <v>2076000</v>
      </c>
      <c r="M25" s="42"/>
      <c r="N25" s="42" t="s">
        <v>60</v>
      </c>
      <c r="O25" s="101" t="s">
        <v>446</v>
      </c>
      <c r="P25" s="45">
        <v>3</v>
      </c>
      <c r="Q25" s="100">
        <v>216</v>
      </c>
      <c r="R25" s="100"/>
      <c r="S25" s="42">
        <v>7550</v>
      </c>
      <c r="T25" s="12">
        <f t="shared" si="8"/>
        <v>1630800</v>
      </c>
      <c r="U25" s="102" t="s">
        <v>84</v>
      </c>
      <c r="V25" s="12">
        <f>+T25*0.2</f>
        <v>326160</v>
      </c>
      <c r="W25" s="12">
        <f t="shared" si="9"/>
        <v>1304640</v>
      </c>
      <c r="X25" s="116"/>
      <c r="Y25" s="117">
        <f t="shared" si="12"/>
        <v>3380640</v>
      </c>
      <c r="Z25" s="12"/>
      <c r="AA25" s="12">
        <f t="shared" si="10"/>
        <v>3380640</v>
      </c>
      <c r="AB25" s="12">
        <v>0.3</v>
      </c>
      <c r="AC25" s="12">
        <f t="shared" si="11"/>
        <v>10141.92</v>
      </c>
      <c r="AD25" s="42"/>
      <c r="AE25" s="12"/>
    </row>
    <row r="26" spans="1:31" s="7" customFormat="1" ht="23.25">
      <c r="A26" s="42" t="s">
        <v>0</v>
      </c>
      <c r="B26" s="42" t="s">
        <v>1</v>
      </c>
      <c r="C26" s="45" t="s">
        <v>1157</v>
      </c>
      <c r="D26" s="45" t="s">
        <v>505</v>
      </c>
      <c r="E26" s="29" t="s">
        <v>907</v>
      </c>
      <c r="F26" s="47">
        <v>3</v>
      </c>
      <c r="G26" s="42"/>
      <c r="H26" s="42"/>
      <c r="I26" s="44">
        <v>20.7</v>
      </c>
      <c r="J26" s="44">
        <f t="shared" si="7"/>
        <v>20.7</v>
      </c>
      <c r="K26" s="42">
        <v>47500</v>
      </c>
      <c r="L26" s="12">
        <f>+K26*J26</f>
        <v>983250</v>
      </c>
      <c r="M26" s="42"/>
      <c r="N26" s="42" t="s">
        <v>60</v>
      </c>
      <c r="O26" s="101" t="s">
        <v>446</v>
      </c>
      <c r="P26" s="45">
        <v>3</v>
      </c>
      <c r="Q26" s="100">
        <v>224</v>
      </c>
      <c r="R26" s="100"/>
      <c r="S26" s="42">
        <v>7550</v>
      </c>
      <c r="T26" s="12">
        <f t="shared" si="8"/>
        <v>1691200</v>
      </c>
      <c r="U26" s="102" t="s">
        <v>83</v>
      </c>
      <c r="V26" s="12">
        <f>+T26*0.18</f>
        <v>304416</v>
      </c>
      <c r="W26" s="12">
        <f t="shared" si="9"/>
        <v>1386784</v>
      </c>
      <c r="X26" s="116"/>
      <c r="Y26" s="117">
        <f t="shared" si="12"/>
        <v>2370034</v>
      </c>
      <c r="Z26" s="12"/>
      <c r="AA26" s="12">
        <f>+Y26-Z26</f>
        <v>2370034</v>
      </c>
      <c r="AB26" s="12">
        <v>0.3</v>
      </c>
      <c r="AC26" s="12">
        <f>+AA26*AB26/100</f>
        <v>7110.102</v>
      </c>
      <c r="AD26" s="42"/>
      <c r="AE26" s="12"/>
    </row>
    <row r="27" spans="1:31" s="7" customFormat="1" ht="23.25">
      <c r="A27" s="42" t="s">
        <v>0</v>
      </c>
      <c r="B27" s="50" t="s">
        <v>1599</v>
      </c>
      <c r="C27" s="45"/>
      <c r="D27" s="45" t="s">
        <v>1600</v>
      </c>
      <c r="E27" s="45" t="s">
        <v>908</v>
      </c>
      <c r="F27" s="47" t="s">
        <v>143</v>
      </c>
      <c r="G27" s="42"/>
      <c r="H27" s="42"/>
      <c r="I27" s="44">
        <v>15</v>
      </c>
      <c r="J27" s="44">
        <f aca="true" t="shared" si="13" ref="J27:J58">+I27+(H27*100)+(G27*400)</f>
        <v>15</v>
      </c>
      <c r="K27" s="42">
        <v>93500</v>
      </c>
      <c r="L27" s="12">
        <f>+K27*J27</f>
        <v>1402500</v>
      </c>
      <c r="M27" s="42"/>
      <c r="N27" s="42" t="s">
        <v>60</v>
      </c>
      <c r="O27" s="101" t="s">
        <v>446</v>
      </c>
      <c r="P27" s="45">
        <v>3</v>
      </c>
      <c r="Q27" s="100">
        <v>180</v>
      </c>
      <c r="R27" s="100"/>
      <c r="S27" s="42">
        <v>7550</v>
      </c>
      <c r="T27" s="12">
        <f aca="true" t="shared" si="14" ref="T27:T58">+Q27*S27</f>
        <v>1359000</v>
      </c>
      <c r="U27" s="102" t="s">
        <v>101</v>
      </c>
      <c r="V27" s="12">
        <f>+T27*0.62</f>
        <v>842580</v>
      </c>
      <c r="W27" s="12">
        <f aca="true" t="shared" si="15" ref="W27:W58">+T27-V27</f>
        <v>516420</v>
      </c>
      <c r="X27" s="116"/>
      <c r="Y27" s="117">
        <f>+L27+W27</f>
        <v>1918920</v>
      </c>
      <c r="Z27" s="12"/>
      <c r="AA27" s="12">
        <f>+Y27-Z27</f>
        <v>1918920</v>
      </c>
      <c r="AB27" s="12">
        <v>0.3</v>
      </c>
      <c r="AC27" s="12">
        <f>+AA27*AB27/100</f>
        <v>5756.76</v>
      </c>
      <c r="AD27" s="42"/>
      <c r="AE27" s="12"/>
    </row>
    <row r="28" spans="1:31" s="7" customFormat="1" ht="23.25">
      <c r="A28" s="42" t="s">
        <v>0</v>
      </c>
      <c r="B28" s="42" t="s">
        <v>1</v>
      </c>
      <c r="C28" s="45" t="s">
        <v>1158</v>
      </c>
      <c r="D28" s="45" t="s">
        <v>506</v>
      </c>
      <c r="E28" s="30" t="s">
        <v>908</v>
      </c>
      <c r="F28" s="47" t="s">
        <v>167</v>
      </c>
      <c r="G28" s="42"/>
      <c r="H28" s="42"/>
      <c r="I28" s="44">
        <v>76.7</v>
      </c>
      <c r="J28" s="44">
        <f t="shared" si="13"/>
        <v>76.7</v>
      </c>
      <c r="K28" s="42">
        <v>97500</v>
      </c>
      <c r="L28" s="12">
        <f t="shared" si="1"/>
        <v>7478250</v>
      </c>
      <c r="M28" s="42">
        <v>1</v>
      </c>
      <c r="N28" s="42" t="s">
        <v>184</v>
      </c>
      <c r="O28" s="101" t="s">
        <v>446</v>
      </c>
      <c r="P28" s="45" t="s">
        <v>143</v>
      </c>
      <c r="Q28" s="100">
        <f>96+96</f>
        <v>192</v>
      </c>
      <c r="R28" s="103">
        <v>34.78</v>
      </c>
      <c r="S28" s="42">
        <v>7550</v>
      </c>
      <c r="T28" s="12">
        <f t="shared" si="14"/>
        <v>1449600</v>
      </c>
      <c r="U28" s="102" t="s">
        <v>328</v>
      </c>
      <c r="V28" s="12">
        <f>+T28*0.76</f>
        <v>1101696</v>
      </c>
      <c r="W28" s="12">
        <f t="shared" si="15"/>
        <v>347904</v>
      </c>
      <c r="X28" s="116"/>
      <c r="Y28" s="117">
        <f>+L28*(R28/100)+W28</f>
        <v>2948839.35</v>
      </c>
      <c r="Z28" s="12"/>
      <c r="AA28" s="12">
        <f t="shared" si="10"/>
        <v>2948839.35</v>
      </c>
      <c r="AB28" s="12">
        <v>0.3</v>
      </c>
      <c r="AC28" s="12">
        <f t="shared" si="11"/>
        <v>8846.51805</v>
      </c>
      <c r="AD28" s="42"/>
      <c r="AE28" s="12"/>
    </row>
    <row r="29" spans="1:31" s="7" customFormat="1" ht="23.25">
      <c r="A29" s="42" t="s">
        <v>0</v>
      </c>
      <c r="B29" s="42"/>
      <c r="C29" s="45"/>
      <c r="D29" s="45"/>
      <c r="E29" s="45"/>
      <c r="F29" s="47"/>
      <c r="G29" s="42"/>
      <c r="H29" s="42"/>
      <c r="I29" s="44"/>
      <c r="J29" s="44">
        <f t="shared" si="13"/>
        <v>0</v>
      </c>
      <c r="K29" s="42"/>
      <c r="L29" s="12">
        <f t="shared" si="1"/>
        <v>0</v>
      </c>
      <c r="M29" s="42">
        <v>2</v>
      </c>
      <c r="N29" s="42" t="s">
        <v>60</v>
      </c>
      <c r="O29" s="101" t="s">
        <v>446</v>
      </c>
      <c r="P29" s="45" t="s">
        <v>143</v>
      </c>
      <c r="Q29" s="100">
        <v>48</v>
      </c>
      <c r="R29" s="103">
        <v>8.69</v>
      </c>
      <c r="S29" s="42">
        <v>7550</v>
      </c>
      <c r="T29" s="12">
        <f t="shared" si="14"/>
        <v>362400</v>
      </c>
      <c r="U29" s="102" t="s">
        <v>84</v>
      </c>
      <c r="V29" s="12">
        <f>+T29*0.2</f>
        <v>72480</v>
      </c>
      <c r="W29" s="12">
        <f t="shared" si="15"/>
        <v>289920</v>
      </c>
      <c r="X29" s="116"/>
      <c r="Y29" s="117">
        <f>+L28*(R29/100)+W29</f>
        <v>939779.9249999999</v>
      </c>
      <c r="Z29" s="12"/>
      <c r="AA29" s="12">
        <f t="shared" si="10"/>
        <v>939779.9249999999</v>
      </c>
      <c r="AB29" s="12">
        <v>0.3</v>
      </c>
      <c r="AC29" s="12">
        <f t="shared" si="11"/>
        <v>2819.339775</v>
      </c>
      <c r="AD29" s="42"/>
      <c r="AE29" s="12"/>
    </row>
    <row r="30" spans="1:31" s="7" customFormat="1" ht="23.25">
      <c r="A30" s="42" t="s">
        <v>0</v>
      </c>
      <c r="B30" s="42"/>
      <c r="C30" s="45"/>
      <c r="D30" s="45"/>
      <c r="E30" s="45"/>
      <c r="F30" s="47"/>
      <c r="G30" s="42"/>
      <c r="H30" s="42"/>
      <c r="I30" s="44"/>
      <c r="J30" s="44">
        <f t="shared" si="13"/>
        <v>0</v>
      </c>
      <c r="K30" s="42"/>
      <c r="L30" s="12">
        <f>+K30*J30</f>
        <v>0</v>
      </c>
      <c r="M30" s="42">
        <v>3</v>
      </c>
      <c r="N30" s="42" t="s">
        <v>159</v>
      </c>
      <c r="O30" s="101" t="s">
        <v>446</v>
      </c>
      <c r="P30" s="45" t="s">
        <v>137</v>
      </c>
      <c r="Q30" s="100">
        <f>40*3</f>
        <v>120</v>
      </c>
      <c r="R30" s="103">
        <v>21.73</v>
      </c>
      <c r="S30" s="42">
        <v>7550</v>
      </c>
      <c r="T30" s="12">
        <f t="shared" si="14"/>
        <v>906000</v>
      </c>
      <c r="U30" s="102" t="s">
        <v>84</v>
      </c>
      <c r="V30" s="12">
        <f>+T30*0.2</f>
        <v>181200</v>
      </c>
      <c r="W30" s="12">
        <f t="shared" si="15"/>
        <v>724800</v>
      </c>
      <c r="X30" s="116"/>
      <c r="Y30" s="117">
        <f>+L28*(R30/100)+W30</f>
        <v>2349823.7249999996</v>
      </c>
      <c r="Z30" s="12"/>
      <c r="AA30" s="12">
        <f>+Y30-Z30</f>
        <v>2349823.7249999996</v>
      </c>
      <c r="AB30" s="12">
        <v>0.02</v>
      </c>
      <c r="AC30" s="12">
        <f>+AA30*AB30/100</f>
        <v>469.964745</v>
      </c>
      <c r="AD30" s="42"/>
      <c r="AE30" s="42"/>
    </row>
    <row r="31" spans="1:31" s="7" customFormat="1" ht="23.25">
      <c r="A31" s="42" t="s">
        <v>0</v>
      </c>
      <c r="B31" s="42"/>
      <c r="C31" s="45"/>
      <c r="D31" s="45"/>
      <c r="E31" s="45"/>
      <c r="F31" s="47"/>
      <c r="G31" s="42"/>
      <c r="H31" s="42"/>
      <c r="I31" s="44"/>
      <c r="J31" s="44">
        <f t="shared" si="13"/>
        <v>0</v>
      </c>
      <c r="K31" s="42"/>
      <c r="L31" s="12">
        <f>+K31*J31</f>
        <v>0</v>
      </c>
      <c r="M31" s="42">
        <v>4</v>
      </c>
      <c r="N31" s="42" t="s">
        <v>184</v>
      </c>
      <c r="O31" s="101" t="s">
        <v>446</v>
      </c>
      <c r="P31" s="45" t="s">
        <v>137</v>
      </c>
      <c r="Q31" s="100">
        <f>96+96</f>
        <v>192</v>
      </c>
      <c r="R31" s="103">
        <v>34.8</v>
      </c>
      <c r="S31" s="42">
        <v>7550</v>
      </c>
      <c r="T31" s="12">
        <f t="shared" si="14"/>
        <v>1449600</v>
      </c>
      <c r="U31" s="102" t="s">
        <v>328</v>
      </c>
      <c r="V31" s="12">
        <f>+T31*0.76</f>
        <v>1101696</v>
      </c>
      <c r="W31" s="12">
        <f t="shared" si="15"/>
        <v>347904</v>
      </c>
      <c r="X31" s="116"/>
      <c r="Y31" s="117">
        <f>+L28*(R31/100)+W31</f>
        <v>2950335</v>
      </c>
      <c r="Z31" s="12"/>
      <c r="AA31" s="12">
        <f>+Y31-Z31</f>
        <v>2950335</v>
      </c>
      <c r="AB31" s="12">
        <v>0.02</v>
      </c>
      <c r="AC31" s="12">
        <f>+AA31*AB31/100</f>
        <v>590.067</v>
      </c>
      <c r="AD31" s="42"/>
      <c r="AE31" s="42"/>
    </row>
    <row r="32" spans="1:31" s="7" customFormat="1" ht="23.25">
      <c r="A32" s="42"/>
      <c r="B32" s="42"/>
      <c r="C32" s="45"/>
      <c r="D32" s="45"/>
      <c r="E32" s="45"/>
      <c r="F32" s="47"/>
      <c r="G32" s="42"/>
      <c r="H32" s="42"/>
      <c r="I32" s="44"/>
      <c r="J32" s="44">
        <f t="shared" si="13"/>
        <v>0</v>
      </c>
      <c r="K32" s="42"/>
      <c r="L32" s="42">
        <f t="shared" si="1"/>
        <v>0</v>
      </c>
      <c r="M32" s="42"/>
      <c r="N32" s="42"/>
      <c r="O32" s="42"/>
      <c r="P32" s="45"/>
      <c r="Q32" s="42"/>
      <c r="R32" s="42"/>
      <c r="S32" s="42"/>
      <c r="T32" s="12">
        <f t="shared" si="14"/>
        <v>0</v>
      </c>
      <c r="U32" s="45"/>
      <c r="V32" s="12">
        <f>+T32*0</f>
        <v>0</v>
      </c>
      <c r="W32" s="12">
        <f t="shared" si="15"/>
        <v>0</v>
      </c>
      <c r="X32" s="116"/>
      <c r="Y32" s="117">
        <f t="shared" si="12"/>
        <v>0</v>
      </c>
      <c r="Z32" s="12"/>
      <c r="AA32" s="12">
        <f t="shared" si="10"/>
        <v>0</v>
      </c>
      <c r="AB32" s="12"/>
      <c r="AC32" s="12">
        <f t="shared" si="11"/>
        <v>0</v>
      </c>
      <c r="AD32" s="42"/>
      <c r="AE32" s="42"/>
    </row>
    <row r="33" spans="1:31" s="7" customFormat="1" ht="23.25">
      <c r="A33" s="42" t="s">
        <v>0</v>
      </c>
      <c r="B33" s="42" t="s">
        <v>1</v>
      </c>
      <c r="C33" s="45" t="s">
        <v>1159</v>
      </c>
      <c r="D33" s="45" t="s">
        <v>507</v>
      </c>
      <c r="E33" s="29" t="s">
        <v>907</v>
      </c>
      <c r="F33" s="47">
        <v>2</v>
      </c>
      <c r="G33" s="42"/>
      <c r="H33" s="42"/>
      <c r="I33" s="44">
        <v>25.3</v>
      </c>
      <c r="J33" s="44">
        <f t="shared" si="13"/>
        <v>25.3</v>
      </c>
      <c r="K33" s="42">
        <v>15000</v>
      </c>
      <c r="L33" s="12">
        <f t="shared" si="1"/>
        <v>379500</v>
      </c>
      <c r="M33" s="42"/>
      <c r="N33" s="42" t="s">
        <v>62</v>
      </c>
      <c r="O33" s="101" t="s">
        <v>446</v>
      </c>
      <c r="P33" s="45">
        <v>2</v>
      </c>
      <c r="Q33" s="100">
        <v>150</v>
      </c>
      <c r="R33" s="100"/>
      <c r="S33" s="42">
        <v>6750</v>
      </c>
      <c r="T33" s="12">
        <f t="shared" si="14"/>
        <v>1012500</v>
      </c>
      <c r="U33" s="102" t="s">
        <v>84</v>
      </c>
      <c r="V33" s="12">
        <f>+T33*0.2</f>
        <v>202500</v>
      </c>
      <c r="W33" s="12">
        <f t="shared" si="15"/>
        <v>810000</v>
      </c>
      <c r="X33" s="116"/>
      <c r="Y33" s="117">
        <f t="shared" si="12"/>
        <v>1189500</v>
      </c>
      <c r="Z33" s="12"/>
      <c r="AA33" s="12">
        <f t="shared" si="10"/>
        <v>1189500</v>
      </c>
      <c r="AB33" s="12">
        <v>0.02</v>
      </c>
      <c r="AC33" s="12">
        <f t="shared" si="11"/>
        <v>237.9</v>
      </c>
      <c r="AD33" s="42"/>
      <c r="AE33" s="12"/>
    </row>
    <row r="34" spans="1:31" s="7" customFormat="1" ht="23.25">
      <c r="A34" s="42" t="s">
        <v>0</v>
      </c>
      <c r="B34" s="42" t="s">
        <v>1</v>
      </c>
      <c r="C34" s="45" t="s">
        <v>1160</v>
      </c>
      <c r="D34" s="48" t="s">
        <v>508</v>
      </c>
      <c r="E34" s="29" t="s">
        <v>907</v>
      </c>
      <c r="F34" s="47">
        <v>4</v>
      </c>
      <c r="G34" s="42"/>
      <c r="H34" s="42">
        <v>1</v>
      </c>
      <c r="I34" s="44">
        <v>99.9</v>
      </c>
      <c r="J34" s="44">
        <f t="shared" si="13"/>
        <v>199.9</v>
      </c>
      <c r="K34" s="42">
        <v>12000</v>
      </c>
      <c r="L34" s="12">
        <f t="shared" si="1"/>
        <v>2398800</v>
      </c>
      <c r="M34" s="42"/>
      <c r="N34" s="42"/>
      <c r="O34" s="100"/>
      <c r="P34" s="45"/>
      <c r="Q34" s="100"/>
      <c r="R34" s="100"/>
      <c r="S34" s="42"/>
      <c r="T34" s="12">
        <f t="shared" si="14"/>
        <v>0</v>
      </c>
      <c r="U34" s="45"/>
      <c r="V34" s="12">
        <f aca="true" t="shared" si="16" ref="V34:V42">+T34*0</f>
        <v>0</v>
      </c>
      <c r="W34" s="12">
        <f t="shared" si="15"/>
        <v>0</v>
      </c>
      <c r="X34" s="116"/>
      <c r="Y34" s="117">
        <f t="shared" si="12"/>
        <v>2398800</v>
      </c>
      <c r="Z34" s="12"/>
      <c r="AA34" s="12">
        <f t="shared" si="10"/>
        <v>2398800</v>
      </c>
      <c r="AB34" s="12">
        <v>0.3</v>
      </c>
      <c r="AC34" s="12">
        <f t="shared" si="11"/>
        <v>7196.4</v>
      </c>
      <c r="AD34" s="42"/>
      <c r="AE34" s="12"/>
    </row>
    <row r="35" spans="1:31" s="7" customFormat="1" ht="23.25">
      <c r="A35" s="42"/>
      <c r="B35" s="42"/>
      <c r="C35" s="45"/>
      <c r="D35" s="45"/>
      <c r="E35" s="45"/>
      <c r="F35" s="47"/>
      <c r="G35" s="42"/>
      <c r="H35" s="42"/>
      <c r="I35" s="44"/>
      <c r="J35" s="44">
        <f t="shared" si="13"/>
        <v>0</v>
      </c>
      <c r="K35" s="42"/>
      <c r="L35" s="42">
        <f t="shared" si="1"/>
        <v>0</v>
      </c>
      <c r="M35" s="42"/>
      <c r="N35" s="42"/>
      <c r="O35" s="42"/>
      <c r="P35" s="45"/>
      <c r="Q35" s="42"/>
      <c r="R35" s="42"/>
      <c r="S35" s="42"/>
      <c r="T35" s="12">
        <f t="shared" si="14"/>
        <v>0</v>
      </c>
      <c r="U35" s="45"/>
      <c r="V35" s="12">
        <f t="shared" si="16"/>
        <v>0</v>
      </c>
      <c r="W35" s="12">
        <f t="shared" si="15"/>
        <v>0</v>
      </c>
      <c r="X35" s="116"/>
      <c r="Y35" s="117">
        <f t="shared" si="12"/>
        <v>0</v>
      </c>
      <c r="Z35" s="12"/>
      <c r="AA35" s="12">
        <f t="shared" si="10"/>
        <v>0</v>
      </c>
      <c r="AB35" s="12"/>
      <c r="AC35" s="12">
        <f t="shared" si="11"/>
        <v>0</v>
      </c>
      <c r="AD35" s="42"/>
      <c r="AE35" s="42"/>
    </row>
    <row r="36" spans="1:31" s="7" customFormat="1" ht="23.25">
      <c r="A36" s="42"/>
      <c r="B36" s="42"/>
      <c r="C36" s="45"/>
      <c r="D36" s="45"/>
      <c r="E36" s="45"/>
      <c r="F36" s="47"/>
      <c r="G36" s="42"/>
      <c r="H36" s="42"/>
      <c r="I36" s="44"/>
      <c r="J36" s="44">
        <f t="shared" si="13"/>
        <v>0</v>
      </c>
      <c r="K36" s="42"/>
      <c r="L36" s="42">
        <f t="shared" si="1"/>
        <v>0</v>
      </c>
      <c r="M36" s="42"/>
      <c r="N36" s="42"/>
      <c r="O36" s="42"/>
      <c r="P36" s="45"/>
      <c r="Q36" s="42"/>
      <c r="R36" s="42"/>
      <c r="S36" s="42"/>
      <c r="T36" s="12">
        <f t="shared" si="14"/>
        <v>0</v>
      </c>
      <c r="U36" s="45"/>
      <c r="V36" s="12">
        <f t="shared" si="16"/>
        <v>0</v>
      </c>
      <c r="W36" s="12">
        <f t="shared" si="15"/>
        <v>0</v>
      </c>
      <c r="X36" s="116"/>
      <c r="Y36" s="117">
        <f t="shared" si="12"/>
        <v>0</v>
      </c>
      <c r="Z36" s="12"/>
      <c r="AA36" s="12">
        <f t="shared" si="10"/>
        <v>0</v>
      </c>
      <c r="AB36" s="12"/>
      <c r="AC36" s="12">
        <f t="shared" si="11"/>
        <v>0</v>
      </c>
      <c r="AD36" s="42"/>
      <c r="AE36" s="42"/>
    </row>
    <row r="37" spans="1:31" s="7" customFormat="1" ht="23.25">
      <c r="A37" s="42" t="s">
        <v>0</v>
      </c>
      <c r="B37" s="42" t="s">
        <v>1</v>
      </c>
      <c r="C37" s="45" t="s">
        <v>1161</v>
      </c>
      <c r="D37" s="45" t="s">
        <v>509</v>
      </c>
      <c r="E37" s="29" t="s">
        <v>907</v>
      </c>
      <c r="F37" s="47">
        <v>4</v>
      </c>
      <c r="G37" s="42"/>
      <c r="H37" s="42"/>
      <c r="I37" s="44">
        <v>70</v>
      </c>
      <c r="J37" s="44">
        <f t="shared" si="13"/>
        <v>70</v>
      </c>
      <c r="K37" s="42">
        <v>12000</v>
      </c>
      <c r="L37" s="12">
        <f t="shared" si="1"/>
        <v>840000</v>
      </c>
      <c r="M37" s="42"/>
      <c r="N37" s="42"/>
      <c r="O37" s="100"/>
      <c r="P37" s="45"/>
      <c r="Q37" s="100"/>
      <c r="R37" s="100"/>
      <c r="S37" s="42"/>
      <c r="T37" s="12">
        <f t="shared" si="14"/>
        <v>0</v>
      </c>
      <c r="U37" s="45"/>
      <c r="V37" s="12">
        <f t="shared" si="16"/>
        <v>0</v>
      </c>
      <c r="W37" s="12">
        <f t="shared" si="15"/>
        <v>0</v>
      </c>
      <c r="X37" s="116"/>
      <c r="Y37" s="117">
        <f t="shared" si="12"/>
        <v>840000</v>
      </c>
      <c r="Z37" s="12"/>
      <c r="AA37" s="12">
        <f t="shared" si="10"/>
        <v>840000</v>
      </c>
      <c r="AB37" s="12">
        <v>0.3</v>
      </c>
      <c r="AC37" s="12">
        <f t="shared" si="11"/>
        <v>2520</v>
      </c>
      <c r="AD37" s="42"/>
      <c r="AE37" s="12"/>
    </row>
    <row r="38" spans="1:31" s="7" customFormat="1" ht="23.25">
      <c r="A38" s="42" t="s">
        <v>0</v>
      </c>
      <c r="B38" s="42" t="s">
        <v>1</v>
      </c>
      <c r="C38" s="45" t="s">
        <v>1162</v>
      </c>
      <c r="D38" s="45" t="s">
        <v>510</v>
      </c>
      <c r="E38" s="29" t="s">
        <v>907</v>
      </c>
      <c r="F38" s="47">
        <v>4</v>
      </c>
      <c r="G38" s="42"/>
      <c r="H38" s="42"/>
      <c r="I38" s="44">
        <v>70</v>
      </c>
      <c r="J38" s="44">
        <f t="shared" si="13"/>
        <v>70</v>
      </c>
      <c r="K38" s="42">
        <v>12000</v>
      </c>
      <c r="L38" s="12">
        <f t="shared" si="1"/>
        <v>840000</v>
      </c>
      <c r="M38" s="42"/>
      <c r="N38" s="42"/>
      <c r="O38" s="100"/>
      <c r="P38" s="45"/>
      <c r="Q38" s="100"/>
      <c r="R38" s="100"/>
      <c r="S38" s="42"/>
      <c r="T38" s="12">
        <f t="shared" si="14"/>
        <v>0</v>
      </c>
      <c r="U38" s="45"/>
      <c r="V38" s="12">
        <f t="shared" si="16"/>
        <v>0</v>
      </c>
      <c r="W38" s="12">
        <f t="shared" si="15"/>
        <v>0</v>
      </c>
      <c r="X38" s="116"/>
      <c r="Y38" s="117">
        <f t="shared" si="12"/>
        <v>840000</v>
      </c>
      <c r="Z38" s="12"/>
      <c r="AA38" s="12">
        <f t="shared" si="10"/>
        <v>840000</v>
      </c>
      <c r="AB38" s="12">
        <v>0.3</v>
      </c>
      <c r="AC38" s="12">
        <f t="shared" si="11"/>
        <v>2520</v>
      </c>
      <c r="AD38" s="42"/>
      <c r="AE38" s="12"/>
    </row>
    <row r="39" spans="1:31" s="7" customFormat="1" ht="23.25">
      <c r="A39" s="42"/>
      <c r="B39" s="42"/>
      <c r="C39" s="45"/>
      <c r="D39" s="45"/>
      <c r="E39" s="45"/>
      <c r="F39" s="47"/>
      <c r="G39" s="42"/>
      <c r="H39" s="42"/>
      <c r="I39" s="44"/>
      <c r="J39" s="44">
        <f t="shared" si="13"/>
        <v>0</v>
      </c>
      <c r="K39" s="42"/>
      <c r="L39" s="42">
        <f t="shared" si="1"/>
        <v>0</v>
      </c>
      <c r="M39" s="42"/>
      <c r="N39" s="42"/>
      <c r="O39" s="42"/>
      <c r="P39" s="45"/>
      <c r="Q39" s="42"/>
      <c r="R39" s="42"/>
      <c r="S39" s="42"/>
      <c r="T39" s="12">
        <f t="shared" si="14"/>
        <v>0</v>
      </c>
      <c r="U39" s="45"/>
      <c r="V39" s="12">
        <f t="shared" si="16"/>
        <v>0</v>
      </c>
      <c r="W39" s="12">
        <f t="shared" si="15"/>
        <v>0</v>
      </c>
      <c r="X39" s="116"/>
      <c r="Y39" s="117">
        <f t="shared" si="12"/>
        <v>0</v>
      </c>
      <c r="Z39" s="12"/>
      <c r="AA39" s="12">
        <f t="shared" si="10"/>
        <v>0</v>
      </c>
      <c r="AB39" s="12"/>
      <c r="AC39" s="12">
        <f t="shared" si="11"/>
        <v>0</v>
      </c>
      <c r="AD39" s="42"/>
      <c r="AE39" s="42"/>
    </row>
    <row r="40" spans="1:31" s="7" customFormat="1" ht="23.25">
      <c r="A40" s="42" t="s">
        <v>0</v>
      </c>
      <c r="B40" s="42" t="s">
        <v>1</v>
      </c>
      <c r="C40" s="45" t="s">
        <v>1163</v>
      </c>
      <c r="D40" s="45" t="s">
        <v>511</v>
      </c>
      <c r="E40" s="29" t="s">
        <v>907</v>
      </c>
      <c r="F40" s="47">
        <v>4</v>
      </c>
      <c r="G40" s="42"/>
      <c r="H40" s="42"/>
      <c r="I40" s="44">
        <v>25</v>
      </c>
      <c r="J40" s="44">
        <f t="shared" si="13"/>
        <v>25</v>
      </c>
      <c r="K40" s="42">
        <v>15000</v>
      </c>
      <c r="L40" s="12">
        <f t="shared" si="1"/>
        <v>375000</v>
      </c>
      <c r="M40" s="42"/>
      <c r="N40" s="42"/>
      <c r="O40" s="100"/>
      <c r="P40" s="45"/>
      <c r="Q40" s="100"/>
      <c r="R40" s="100"/>
      <c r="S40" s="42"/>
      <c r="T40" s="12">
        <f t="shared" si="14"/>
        <v>0</v>
      </c>
      <c r="U40" s="45"/>
      <c r="V40" s="12">
        <f t="shared" si="16"/>
        <v>0</v>
      </c>
      <c r="W40" s="12">
        <f t="shared" si="15"/>
        <v>0</v>
      </c>
      <c r="X40" s="116"/>
      <c r="Y40" s="117">
        <f t="shared" si="12"/>
        <v>375000</v>
      </c>
      <c r="Z40" s="12"/>
      <c r="AA40" s="12">
        <f t="shared" si="10"/>
        <v>375000</v>
      </c>
      <c r="AB40" s="12">
        <v>0.3</v>
      </c>
      <c r="AC40" s="12">
        <f t="shared" si="11"/>
        <v>1125</v>
      </c>
      <c r="AD40" s="42"/>
      <c r="AE40" s="12"/>
    </row>
    <row r="41" spans="1:31" s="7" customFormat="1" ht="23.25">
      <c r="A41" s="42" t="s">
        <v>0</v>
      </c>
      <c r="B41" s="42" t="s">
        <v>1</v>
      </c>
      <c r="C41" s="45" t="s">
        <v>1164</v>
      </c>
      <c r="D41" s="45" t="s">
        <v>512</v>
      </c>
      <c r="E41" s="29" t="s">
        <v>907</v>
      </c>
      <c r="F41" s="47">
        <v>4</v>
      </c>
      <c r="G41" s="42"/>
      <c r="H41" s="42"/>
      <c r="I41" s="44">
        <v>25</v>
      </c>
      <c r="J41" s="44">
        <f t="shared" si="13"/>
        <v>25</v>
      </c>
      <c r="K41" s="42">
        <v>15000</v>
      </c>
      <c r="L41" s="12">
        <f t="shared" si="1"/>
        <v>375000</v>
      </c>
      <c r="M41" s="42"/>
      <c r="N41" s="42"/>
      <c r="O41" s="100"/>
      <c r="P41" s="45"/>
      <c r="Q41" s="100"/>
      <c r="R41" s="100"/>
      <c r="S41" s="42"/>
      <c r="T41" s="12">
        <f t="shared" si="14"/>
        <v>0</v>
      </c>
      <c r="U41" s="45"/>
      <c r="V41" s="12">
        <f t="shared" si="16"/>
        <v>0</v>
      </c>
      <c r="W41" s="12">
        <f t="shared" si="15"/>
        <v>0</v>
      </c>
      <c r="X41" s="116"/>
      <c r="Y41" s="117">
        <f t="shared" si="12"/>
        <v>375000</v>
      </c>
      <c r="Z41" s="12"/>
      <c r="AA41" s="12">
        <f t="shared" si="10"/>
        <v>375000</v>
      </c>
      <c r="AB41" s="12">
        <v>0.3</v>
      </c>
      <c r="AC41" s="12">
        <f t="shared" si="11"/>
        <v>1125</v>
      </c>
      <c r="AD41" s="42"/>
      <c r="AE41" s="12"/>
    </row>
    <row r="42" spans="1:31" s="7" customFormat="1" ht="23.25">
      <c r="A42" s="42"/>
      <c r="B42" s="42"/>
      <c r="C42" s="45"/>
      <c r="D42" s="45"/>
      <c r="E42" s="45"/>
      <c r="F42" s="47"/>
      <c r="G42" s="42"/>
      <c r="H42" s="42"/>
      <c r="I42" s="44"/>
      <c r="J42" s="44">
        <f t="shared" si="13"/>
        <v>0</v>
      </c>
      <c r="K42" s="42"/>
      <c r="L42" s="42">
        <f t="shared" si="1"/>
        <v>0</v>
      </c>
      <c r="M42" s="42"/>
      <c r="N42" s="42"/>
      <c r="O42" s="42"/>
      <c r="P42" s="45"/>
      <c r="Q42" s="42"/>
      <c r="R42" s="42"/>
      <c r="S42" s="42"/>
      <c r="T42" s="12">
        <f t="shared" si="14"/>
        <v>0</v>
      </c>
      <c r="U42" s="45"/>
      <c r="V42" s="12">
        <f t="shared" si="16"/>
        <v>0</v>
      </c>
      <c r="W42" s="12">
        <f t="shared" si="15"/>
        <v>0</v>
      </c>
      <c r="X42" s="116"/>
      <c r="Y42" s="117">
        <f t="shared" si="12"/>
        <v>0</v>
      </c>
      <c r="Z42" s="12"/>
      <c r="AA42" s="12">
        <f t="shared" si="10"/>
        <v>0</v>
      </c>
      <c r="AB42" s="12"/>
      <c r="AC42" s="12">
        <f t="shared" si="11"/>
        <v>0</v>
      </c>
      <c r="AD42" s="42"/>
      <c r="AE42" s="42"/>
    </row>
    <row r="43" spans="1:31" s="7" customFormat="1" ht="23.25">
      <c r="A43" s="42" t="s">
        <v>0</v>
      </c>
      <c r="B43" s="42" t="s">
        <v>1</v>
      </c>
      <c r="C43" s="45" t="s">
        <v>1165</v>
      </c>
      <c r="D43" s="45" t="s">
        <v>513</v>
      </c>
      <c r="E43" s="30" t="s">
        <v>908</v>
      </c>
      <c r="F43" s="47">
        <v>2</v>
      </c>
      <c r="G43" s="42"/>
      <c r="H43" s="42"/>
      <c r="I43" s="44">
        <v>18.8</v>
      </c>
      <c r="J43" s="44">
        <f t="shared" si="13"/>
        <v>18.8</v>
      </c>
      <c r="K43" s="42">
        <v>50000</v>
      </c>
      <c r="L43" s="12">
        <f t="shared" si="1"/>
        <v>940000</v>
      </c>
      <c r="M43" s="42"/>
      <c r="N43" s="42" t="s">
        <v>60</v>
      </c>
      <c r="O43" s="101" t="s">
        <v>446</v>
      </c>
      <c r="P43" s="45">
        <v>2</v>
      </c>
      <c r="Q43" s="100">
        <v>192</v>
      </c>
      <c r="R43" s="100"/>
      <c r="S43" s="42">
        <v>7550</v>
      </c>
      <c r="T43" s="12">
        <f t="shared" si="14"/>
        <v>1449600</v>
      </c>
      <c r="U43" s="102" t="s">
        <v>84</v>
      </c>
      <c r="V43" s="12">
        <f>+T43*0.2</f>
        <v>289920</v>
      </c>
      <c r="W43" s="12">
        <f t="shared" si="15"/>
        <v>1159680</v>
      </c>
      <c r="X43" s="116"/>
      <c r="Y43" s="117">
        <f t="shared" si="12"/>
        <v>2099680</v>
      </c>
      <c r="Z43" s="12"/>
      <c r="AA43" s="12">
        <f t="shared" si="10"/>
        <v>2099680</v>
      </c>
      <c r="AB43" s="12">
        <v>0.02</v>
      </c>
      <c r="AC43" s="12">
        <f t="shared" si="11"/>
        <v>419.936</v>
      </c>
      <c r="AD43" s="42"/>
      <c r="AE43" s="12"/>
    </row>
    <row r="44" spans="1:31" s="7" customFormat="1" ht="23.25">
      <c r="A44" s="42" t="s">
        <v>0</v>
      </c>
      <c r="B44" s="42" t="s">
        <v>1</v>
      </c>
      <c r="C44" s="45" t="s">
        <v>1166</v>
      </c>
      <c r="D44" s="48" t="s">
        <v>514</v>
      </c>
      <c r="E44" s="29" t="s">
        <v>907</v>
      </c>
      <c r="F44" s="47">
        <v>2</v>
      </c>
      <c r="G44" s="42"/>
      <c r="H44" s="42">
        <v>1</v>
      </c>
      <c r="I44" s="44">
        <v>10.9</v>
      </c>
      <c r="J44" s="44">
        <f t="shared" si="13"/>
        <v>110.9</v>
      </c>
      <c r="K44" s="42">
        <v>20000</v>
      </c>
      <c r="L44" s="12">
        <f t="shared" si="1"/>
        <v>2218000</v>
      </c>
      <c r="M44" s="42"/>
      <c r="N44" s="42" t="s">
        <v>64</v>
      </c>
      <c r="O44" s="101" t="s">
        <v>446</v>
      </c>
      <c r="P44" s="45" t="s">
        <v>137</v>
      </c>
      <c r="Q44" s="100">
        <v>312</v>
      </c>
      <c r="R44" s="100"/>
      <c r="S44" s="42">
        <v>6550</v>
      </c>
      <c r="T44" s="12">
        <f t="shared" si="14"/>
        <v>2043600</v>
      </c>
      <c r="U44" s="45" t="s">
        <v>321</v>
      </c>
      <c r="V44" s="12">
        <f>+T44*0.02</f>
        <v>40872</v>
      </c>
      <c r="W44" s="12">
        <f t="shared" si="15"/>
        <v>2002728</v>
      </c>
      <c r="X44" s="116"/>
      <c r="Y44" s="117">
        <f t="shared" si="12"/>
        <v>4220728</v>
      </c>
      <c r="Z44" s="12">
        <f>+Y44</f>
        <v>4220728</v>
      </c>
      <c r="AA44" s="12">
        <f t="shared" si="10"/>
        <v>0</v>
      </c>
      <c r="AB44" s="12"/>
      <c r="AC44" s="12">
        <f t="shared" si="11"/>
        <v>0</v>
      </c>
      <c r="AD44" s="31" t="s">
        <v>906</v>
      </c>
      <c r="AE44" s="12"/>
    </row>
    <row r="45" spans="1:31" s="7" customFormat="1" ht="23.25">
      <c r="A45" s="42"/>
      <c r="B45" s="42"/>
      <c r="C45" s="45"/>
      <c r="D45" s="45"/>
      <c r="E45" s="45"/>
      <c r="F45" s="47"/>
      <c r="G45" s="42"/>
      <c r="H45" s="42"/>
      <c r="I45" s="44"/>
      <c r="J45" s="44">
        <f t="shared" si="13"/>
        <v>0</v>
      </c>
      <c r="K45" s="42"/>
      <c r="L45" s="42">
        <f t="shared" si="1"/>
        <v>0</v>
      </c>
      <c r="M45" s="42"/>
      <c r="N45" s="42"/>
      <c r="O45" s="42"/>
      <c r="P45" s="45"/>
      <c r="Q45" s="42"/>
      <c r="R45" s="42"/>
      <c r="S45" s="42"/>
      <c r="T45" s="12">
        <f t="shared" si="14"/>
        <v>0</v>
      </c>
      <c r="U45" s="45"/>
      <c r="V45" s="12">
        <f>+T45*0</f>
        <v>0</v>
      </c>
      <c r="W45" s="12">
        <f t="shared" si="15"/>
        <v>0</v>
      </c>
      <c r="X45" s="116"/>
      <c r="Y45" s="117">
        <f t="shared" si="12"/>
        <v>0</v>
      </c>
      <c r="Z45" s="12"/>
      <c r="AA45" s="12">
        <f t="shared" si="10"/>
        <v>0</v>
      </c>
      <c r="AB45" s="12"/>
      <c r="AC45" s="12">
        <f t="shared" si="11"/>
        <v>0</v>
      </c>
      <c r="AD45" s="42"/>
      <c r="AE45" s="42"/>
    </row>
    <row r="46" spans="1:31" s="7" customFormat="1" ht="23.25">
      <c r="A46" s="42" t="s">
        <v>0</v>
      </c>
      <c r="B46" s="42" t="s">
        <v>1</v>
      </c>
      <c r="C46" s="45" t="s">
        <v>1167</v>
      </c>
      <c r="D46" s="45" t="s">
        <v>515</v>
      </c>
      <c r="E46" s="29" t="s">
        <v>907</v>
      </c>
      <c r="F46" s="47">
        <v>2</v>
      </c>
      <c r="G46" s="42"/>
      <c r="H46" s="42"/>
      <c r="I46" s="44">
        <v>50</v>
      </c>
      <c r="J46" s="44">
        <f t="shared" si="13"/>
        <v>50</v>
      </c>
      <c r="K46" s="42">
        <v>10000</v>
      </c>
      <c r="L46" s="12">
        <f t="shared" si="1"/>
        <v>500000</v>
      </c>
      <c r="M46" s="42"/>
      <c r="N46" s="42" t="s">
        <v>60</v>
      </c>
      <c r="O46" s="101" t="s">
        <v>446</v>
      </c>
      <c r="P46" s="45">
        <v>2</v>
      </c>
      <c r="Q46" s="100">
        <v>72</v>
      </c>
      <c r="R46" s="100"/>
      <c r="S46" s="42">
        <v>7550</v>
      </c>
      <c r="T46" s="12">
        <f t="shared" si="14"/>
        <v>543600</v>
      </c>
      <c r="U46" s="102" t="s">
        <v>81</v>
      </c>
      <c r="V46" s="12">
        <f>+T46*0.12</f>
        <v>65232</v>
      </c>
      <c r="W46" s="12">
        <f t="shared" si="15"/>
        <v>478368</v>
      </c>
      <c r="X46" s="116"/>
      <c r="Y46" s="117">
        <f t="shared" si="12"/>
        <v>978368</v>
      </c>
      <c r="Z46" s="12"/>
      <c r="AA46" s="12">
        <f t="shared" si="10"/>
        <v>978368</v>
      </c>
      <c r="AB46" s="12">
        <v>0.02</v>
      </c>
      <c r="AC46" s="12">
        <f t="shared" si="11"/>
        <v>195.6736</v>
      </c>
      <c r="AD46" s="42"/>
      <c r="AE46" s="12"/>
    </row>
    <row r="47" spans="1:31" s="7" customFormat="1" ht="23.25">
      <c r="A47" s="42" t="s">
        <v>0</v>
      </c>
      <c r="B47" s="42" t="s">
        <v>1</v>
      </c>
      <c r="C47" s="45" t="s">
        <v>1168</v>
      </c>
      <c r="D47" s="48" t="s">
        <v>516</v>
      </c>
      <c r="E47" s="29" t="s">
        <v>907</v>
      </c>
      <c r="F47" s="47" t="s">
        <v>137</v>
      </c>
      <c r="G47" s="42"/>
      <c r="H47" s="42"/>
      <c r="I47" s="44">
        <v>22.8</v>
      </c>
      <c r="J47" s="44">
        <f t="shared" si="13"/>
        <v>22.8</v>
      </c>
      <c r="K47" s="42">
        <v>12000</v>
      </c>
      <c r="L47" s="12">
        <f t="shared" si="1"/>
        <v>273600</v>
      </c>
      <c r="M47" s="42"/>
      <c r="N47" s="42" t="s">
        <v>62</v>
      </c>
      <c r="O47" s="101" t="s">
        <v>446</v>
      </c>
      <c r="P47" s="45">
        <v>2</v>
      </c>
      <c r="Q47" s="100">
        <v>72</v>
      </c>
      <c r="R47" s="100"/>
      <c r="S47" s="42">
        <v>6750</v>
      </c>
      <c r="T47" s="12">
        <f t="shared" si="14"/>
        <v>486000</v>
      </c>
      <c r="U47" s="102" t="s">
        <v>84</v>
      </c>
      <c r="V47" s="12">
        <f>+T47*0.2</f>
        <v>97200</v>
      </c>
      <c r="W47" s="12">
        <f t="shared" si="15"/>
        <v>388800</v>
      </c>
      <c r="X47" s="116"/>
      <c r="Y47" s="117">
        <f t="shared" si="12"/>
        <v>662400</v>
      </c>
      <c r="Z47" s="12"/>
      <c r="AA47" s="12">
        <f t="shared" si="10"/>
        <v>662400</v>
      </c>
      <c r="AB47" s="12">
        <v>0.02</v>
      </c>
      <c r="AC47" s="12">
        <f t="shared" si="11"/>
        <v>132.48</v>
      </c>
      <c r="AD47" s="42"/>
      <c r="AE47" s="12"/>
    </row>
    <row r="48" spans="1:31" s="7" customFormat="1" ht="23.25">
      <c r="A48" s="42"/>
      <c r="B48" s="42"/>
      <c r="C48" s="45"/>
      <c r="D48" s="45"/>
      <c r="E48" s="45"/>
      <c r="F48" s="47"/>
      <c r="G48" s="42"/>
      <c r="H48" s="42"/>
      <c r="I48" s="44"/>
      <c r="J48" s="44">
        <f t="shared" si="13"/>
        <v>0</v>
      </c>
      <c r="K48" s="42"/>
      <c r="L48" s="42">
        <f t="shared" si="1"/>
        <v>0</v>
      </c>
      <c r="M48" s="42"/>
      <c r="N48" s="42"/>
      <c r="O48" s="42"/>
      <c r="P48" s="45"/>
      <c r="Q48" s="42"/>
      <c r="R48" s="42"/>
      <c r="S48" s="42"/>
      <c r="T48" s="12">
        <f t="shared" si="14"/>
        <v>0</v>
      </c>
      <c r="U48" s="45"/>
      <c r="V48" s="12">
        <f>+T48*0</f>
        <v>0</v>
      </c>
      <c r="W48" s="12">
        <f t="shared" si="15"/>
        <v>0</v>
      </c>
      <c r="X48" s="116"/>
      <c r="Y48" s="117">
        <f t="shared" si="12"/>
        <v>0</v>
      </c>
      <c r="Z48" s="12"/>
      <c r="AA48" s="12">
        <f t="shared" si="10"/>
        <v>0</v>
      </c>
      <c r="AB48" s="12"/>
      <c r="AC48" s="12">
        <f t="shared" si="11"/>
        <v>0</v>
      </c>
      <c r="AD48" s="42"/>
      <c r="AE48" s="42"/>
    </row>
    <row r="49" spans="1:31" s="7" customFormat="1" ht="23.25">
      <c r="A49" s="42"/>
      <c r="B49" s="42"/>
      <c r="C49" s="45"/>
      <c r="D49" s="45"/>
      <c r="E49" s="45"/>
      <c r="F49" s="47"/>
      <c r="G49" s="42"/>
      <c r="H49" s="42"/>
      <c r="I49" s="44"/>
      <c r="J49" s="44">
        <f t="shared" si="13"/>
        <v>0</v>
      </c>
      <c r="K49" s="42"/>
      <c r="L49" s="42">
        <f t="shared" si="1"/>
        <v>0</v>
      </c>
      <c r="M49" s="42"/>
      <c r="N49" s="42"/>
      <c r="O49" s="42"/>
      <c r="P49" s="45"/>
      <c r="Q49" s="42"/>
      <c r="R49" s="42"/>
      <c r="S49" s="42"/>
      <c r="T49" s="12">
        <f t="shared" si="14"/>
        <v>0</v>
      </c>
      <c r="U49" s="45"/>
      <c r="V49" s="12">
        <f>+T49*0</f>
        <v>0</v>
      </c>
      <c r="W49" s="12">
        <f t="shared" si="15"/>
        <v>0</v>
      </c>
      <c r="X49" s="116"/>
      <c r="Y49" s="117">
        <f t="shared" si="12"/>
        <v>0</v>
      </c>
      <c r="Z49" s="12"/>
      <c r="AA49" s="12">
        <f t="shared" si="10"/>
        <v>0</v>
      </c>
      <c r="AB49" s="12"/>
      <c r="AC49" s="12">
        <f t="shared" si="11"/>
        <v>0</v>
      </c>
      <c r="AD49" s="42"/>
      <c r="AE49" s="42"/>
    </row>
    <row r="50" spans="1:31" s="7" customFormat="1" ht="23.25">
      <c r="A50" s="42" t="s">
        <v>0</v>
      </c>
      <c r="B50" s="42" t="s">
        <v>1</v>
      </c>
      <c r="C50" s="45" t="s">
        <v>1169</v>
      </c>
      <c r="D50" s="45" t="s">
        <v>517</v>
      </c>
      <c r="E50" s="29" t="s">
        <v>907</v>
      </c>
      <c r="F50" s="47">
        <v>4</v>
      </c>
      <c r="G50" s="42"/>
      <c r="H50" s="42"/>
      <c r="I50" s="44">
        <v>55.6</v>
      </c>
      <c r="J50" s="44">
        <f t="shared" si="13"/>
        <v>55.6</v>
      </c>
      <c r="K50" s="42">
        <v>12000</v>
      </c>
      <c r="L50" s="12">
        <f t="shared" si="1"/>
        <v>667200</v>
      </c>
      <c r="M50" s="42"/>
      <c r="N50" s="42"/>
      <c r="O50" s="100"/>
      <c r="P50" s="45"/>
      <c r="Q50" s="100"/>
      <c r="R50" s="100"/>
      <c r="S50" s="42"/>
      <c r="T50" s="12">
        <f t="shared" si="14"/>
        <v>0</v>
      </c>
      <c r="U50" s="45"/>
      <c r="V50" s="12">
        <f>+T50*0</f>
        <v>0</v>
      </c>
      <c r="W50" s="12">
        <f t="shared" si="15"/>
        <v>0</v>
      </c>
      <c r="X50" s="116"/>
      <c r="Y50" s="117">
        <f t="shared" si="12"/>
        <v>667200</v>
      </c>
      <c r="Z50" s="12"/>
      <c r="AA50" s="12">
        <f t="shared" si="10"/>
        <v>667200</v>
      </c>
      <c r="AB50" s="12">
        <v>0.3</v>
      </c>
      <c r="AC50" s="12">
        <f t="shared" si="11"/>
        <v>2001.6</v>
      </c>
      <c r="AD50" s="42"/>
      <c r="AE50" s="12"/>
    </row>
    <row r="51" spans="1:31" s="7" customFormat="1" ht="23.25">
      <c r="A51" s="42"/>
      <c r="B51" s="42"/>
      <c r="C51" s="45"/>
      <c r="D51" s="45"/>
      <c r="E51" s="45"/>
      <c r="F51" s="47"/>
      <c r="G51" s="42"/>
      <c r="H51" s="42"/>
      <c r="I51" s="44"/>
      <c r="J51" s="44">
        <f t="shared" si="13"/>
        <v>0</v>
      </c>
      <c r="K51" s="42"/>
      <c r="L51" s="42">
        <f t="shared" si="1"/>
        <v>0</v>
      </c>
      <c r="M51" s="42"/>
      <c r="N51" s="5"/>
      <c r="O51" s="6"/>
      <c r="P51" s="13"/>
      <c r="Q51" s="6"/>
      <c r="R51" s="6"/>
      <c r="S51" s="5"/>
      <c r="T51" s="12">
        <f t="shared" si="14"/>
        <v>0</v>
      </c>
      <c r="U51" s="45"/>
      <c r="V51" s="12">
        <f>+T51*0</f>
        <v>0</v>
      </c>
      <c r="W51" s="12">
        <f t="shared" si="15"/>
        <v>0</v>
      </c>
      <c r="X51" s="116"/>
      <c r="Y51" s="117">
        <f t="shared" si="12"/>
        <v>0</v>
      </c>
      <c r="Z51" s="12"/>
      <c r="AA51" s="12">
        <f t="shared" si="10"/>
        <v>0</v>
      </c>
      <c r="AB51" s="12"/>
      <c r="AC51" s="12">
        <f t="shared" si="11"/>
        <v>0</v>
      </c>
      <c r="AD51" s="42"/>
      <c r="AE51" s="42"/>
    </row>
    <row r="52" spans="1:31" s="7" customFormat="1" ht="23.25">
      <c r="A52" s="42"/>
      <c r="B52" s="42"/>
      <c r="C52" s="45"/>
      <c r="D52" s="45"/>
      <c r="E52" s="45"/>
      <c r="F52" s="47"/>
      <c r="G52" s="42"/>
      <c r="H52" s="42"/>
      <c r="I52" s="44"/>
      <c r="J52" s="44">
        <f t="shared" si="13"/>
        <v>0</v>
      </c>
      <c r="K52" s="42"/>
      <c r="L52" s="42">
        <f t="shared" si="1"/>
        <v>0</v>
      </c>
      <c r="M52" s="42"/>
      <c r="N52" s="42"/>
      <c r="O52" s="42"/>
      <c r="P52" s="45"/>
      <c r="Q52" s="42"/>
      <c r="R52" s="42"/>
      <c r="S52" s="42"/>
      <c r="T52" s="12">
        <f t="shared" si="14"/>
        <v>0</v>
      </c>
      <c r="U52" s="45"/>
      <c r="V52" s="12">
        <f>+T52*0</f>
        <v>0</v>
      </c>
      <c r="W52" s="12">
        <f t="shared" si="15"/>
        <v>0</v>
      </c>
      <c r="X52" s="116"/>
      <c r="Y52" s="117">
        <f t="shared" si="12"/>
        <v>0</v>
      </c>
      <c r="Z52" s="12"/>
      <c r="AA52" s="12">
        <f t="shared" si="10"/>
        <v>0</v>
      </c>
      <c r="AB52" s="12"/>
      <c r="AC52" s="12">
        <f t="shared" si="11"/>
        <v>0</v>
      </c>
      <c r="AD52" s="42"/>
      <c r="AE52" s="42"/>
    </row>
    <row r="53" spans="1:31" s="7" customFormat="1" ht="23.25">
      <c r="A53" s="42" t="s">
        <v>0</v>
      </c>
      <c r="B53" s="42" t="s">
        <v>1</v>
      </c>
      <c r="C53" s="45" t="s">
        <v>1170</v>
      </c>
      <c r="D53" s="45" t="s">
        <v>518</v>
      </c>
      <c r="E53" s="30" t="s">
        <v>908</v>
      </c>
      <c r="F53" s="47">
        <v>5</v>
      </c>
      <c r="G53" s="42"/>
      <c r="H53" s="42"/>
      <c r="I53" s="44">
        <v>15.9</v>
      </c>
      <c r="J53" s="44">
        <f t="shared" si="13"/>
        <v>15.9</v>
      </c>
      <c r="K53" s="42">
        <v>40000</v>
      </c>
      <c r="L53" s="12">
        <f>+K53*J53</f>
        <v>636000</v>
      </c>
      <c r="M53" s="42">
        <v>1</v>
      </c>
      <c r="N53" s="42" t="s">
        <v>60</v>
      </c>
      <c r="O53" s="101" t="s">
        <v>446</v>
      </c>
      <c r="P53" s="45">
        <v>2</v>
      </c>
      <c r="Q53" s="100">
        <v>64</v>
      </c>
      <c r="R53" s="103">
        <f>+Q53*100/(Q53+Q54)</f>
        <v>50</v>
      </c>
      <c r="S53" s="42">
        <v>7550</v>
      </c>
      <c r="T53" s="12">
        <f t="shared" si="14"/>
        <v>483200</v>
      </c>
      <c r="U53" s="102" t="s">
        <v>84</v>
      </c>
      <c r="V53" s="12">
        <f>+T53*0.2</f>
        <v>96640</v>
      </c>
      <c r="W53" s="12">
        <f t="shared" si="15"/>
        <v>386560</v>
      </c>
      <c r="X53" s="116"/>
      <c r="Y53" s="117">
        <f>+L53*(R53/100)+W53</f>
        <v>704560</v>
      </c>
      <c r="Z53" s="12"/>
      <c r="AA53" s="12">
        <f>+Y53-Z53</f>
        <v>704560</v>
      </c>
      <c r="AB53" s="12">
        <v>0.02</v>
      </c>
      <c r="AC53" s="12">
        <f>+AA53*AB53/100</f>
        <v>140.912</v>
      </c>
      <c r="AD53" s="42"/>
      <c r="AE53" s="12"/>
    </row>
    <row r="54" spans="1:31" s="7" customFormat="1" ht="23.25">
      <c r="A54" s="42" t="s">
        <v>0</v>
      </c>
      <c r="B54" s="42"/>
      <c r="C54" s="45"/>
      <c r="D54" s="45"/>
      <c r="E54" s="45"/>
      <c r="F54" s="47"/>
      <c r="G54" s="42"/>
      <c r="H54" s="42"/>
      <c r="I54" s="44"/>
      <c r="J54" s="44">
        <f t="shared" si="13"/>
        <v>0</v>
      </c>
      <c r="K54" s="42"/>
      <c r="L54" s="12">
        <f>+K54*J54</f>
        <v>0</v>
      </c>
      <c r="M54" s="42">
        <v>2</v>
      </c>
      <c r="N54" s="42" t="s">
        <v>60</v>
      </c>
      <c r="O54" s="101" t="s">
        <v>446</v>
      </c>
      <c r="P54" s="45">
        <v>3</v>
      </c>
      <c r="Q54" s="100">
        <v>64</v>
      </c>
      <c r="R54" s="103">
        <f>+Q54*100/(Q53+Q54)</f>
        <v>50</v>
      </c>
      <c r="S54" s="42">
        <v>7550</v>
      </c>
      <c r="T54" s="12">
        <f t="shared" si="14"/>
        <v>483200</v>
      </c>
      <c r="U54" s="102" t="s">
        <v>84</v>
      </c>
      <c r="V54" s="12">
        <f>+T54*0.2</f>
        <v>96640</v>
      </c>
      <c r="W54" s="12">
        <f t="shared" si="15"/>
        <v>386560</v>
      </c>
      <c r="X54" s="116"/>
      <c r="Y54" s="117">
        <f>+L53*(R54/100)+W54</f>
        <v>704560</v>
      </c>
      <c r="Z54" s="12"/>
      <c r="AA54" s="12">
        <f>+Y54-Z54</f>
        <v>704560</v>
      </c>
      <c r="AB54" s="12">
        <v>0.3</v>
      </c>
      <c r="AC54" s="12">
        <f>+AA54*AB54/100</f>
        <v>2113.68</v>
      </c>
      <c r="AD54" s="42"/>
      <c r="AE54" s="12"/>
    </row>
    <row r="55" spans="1:31" s="7" customFormat="1" ht="23.25">
      <c r="A55" s="42"/>
      <c r="B55" s="42"/>
      <c r="C55" s="45"/>
      <c r="D55" s="45"/>
      <c r="E55" s="45"/>
      <c r="F55" s="47"/>
      <c r="G55" s="42"/>
      <c r="H55" s="42"/>
      <c r="I55" s="44"/>
      <c r="J55" s="44">
        <f t="shared" si="13"/>
        <v>0</v>
      </c>
      <c r="K55" s="42"/>
      <c r="L55" s="42">
        <f aca="true" t="shared" si="17" ref="L55:L100">+K55*J55</f>
        <v>0</v>
      </c>
      <c r="M55" s="42"/>
      <c r="N55" s="42"/>
      <c r="O55" s="42"/>
      <c r="P55" s="45"/>
      <c r="Q55" s="42"/>
      <c r="R55" s="42"/>
      <c r="S55" s="42"/>
      <c r="T55" s="12">
        <f t="shared" si="14"/>
        <v>0</v>
      </c>
      <c r="U55" s="45"/>
      <c r="V55" s="12">
        <f>+T55*0</f>
        <v>0</v>
      </c>
      <c r="W55" s="12">
        <f t="shared" si="15"/>
        <v>0</v>
      </c>
      <c r="X55" s="116"/>
      <c r="Y55" s="117">
        <f aca="true" t="shared" si="18" ref="Y55:Y77">+L55+W55</f>
        <v>0</v>
      </c>
      <c r="Z55" s="12"/>
      <c r="AA55" s="12">
        <f t="shared" si="10"/>
        <v>0</v>
      </c>
      <c r="AB55" s="12"/>
      <c r="AC55" s="12">
        <f t="shared" si="11"/>
        <v>0</v>
      </c>
      <c r="AD55" s="42"/>
      <c r="AE55" s="42"/>
    </row>
    <row r="56" spans="1:31" s="7" customFormat="1" ht="23.25">
      <c r="A56" s="42"/>
      <c r="B56" s="42"/>
      <c r="C56" s="45"/>
      <c r="D56" s="45"/>
      <c r="E56" s="45"/>
      <c r="F56" s="47"/>
      <c r="G56" s="42"/>
      <c r="H56" s="42"/>
      <c r="I56" s="44"/>
      <c r="J56" s="44">
        <f t="shared" si="13"/>
        <v>0</v>
      </c>
      <c r="K56" s="42"/>
      <c r="L56" s="42">
        <f t="shared" si="17"/>
        <v>0</v>
      </c>
      <c r="M56" s="42"/>
      <c r="N56" s="42"/>
      <c r="O56" s="42"/>
      <c r="P56" s="45"/>
      <c r="Q56" s="42"/>
      <c r="R56" s="42"/>
      <c r="S56" s="42"/>
      <c r="T56" s="12">
        <f t="shared" si="14"/>
        <v>0</v>
      </c>
      <c r="U56" s="45"/>
      <c r="V56" s="12">
        <f>+T56*0</f>
        <v>0</v>
      </c>
      <c r="W56" s="12">
        <f t="shared" si="15"/>
        <v>0</v>
      </c>
      <c r="X56" s="116"/>
      <c r="Y56" s="117">
        <f t="shared" si="18"/>
        <v>0</v>
      </c>
      <c r="Z56" s="12"/>
      <c r="AA56" s="12">
        <f t="shared" si="10"/>
        <v>0</v>
      </c>
      <c r="AB56" s="12"/>
      <c r="AC56" s="12">
        <f t="shared" si="11"/>
        <v>0</v>
      </c>
      <c r="AD56" s="42"/>
      <c r="AE56" s="42"/>
    </row>
    <row r="57" spans="1:31" s="7" customFormat="1" ht="23.25">
      <c r="A57" s="42" t="s">
        <v>0</v>
      </c>
      <c r="B57" s="42" t="s">
        <v>152</v>
      </c>
      <c r="C57" s="45" t="s">
        <v>1171</v>
      </c>
      <c r="D57" s="51" t="s">
        <v>519</v>
      </c>
      <c r="E57" s="29" t="s">
        <v>907</v>
      </c>
      <c r="F57" s="47">
        <v>4</v>
      </c>
      <c r="G57" s="42"/>
      <c r="H57" s="42"/>
      <c r="I57" s="44">
        <v>52</v>
      </c>
      <c r="J57" s="44">
        <f t="shared" si="13"/>
        <v>52</v>
      </c>
      <c r="K57" s="42">
        <v>500</v>
      </c>
      <c r="L57" s="12">
        <f t="shared" si="17"/>
        <v>26000</v>
      </c>
      <c r="M57" s="42"/>
      <c r="N57" s="42"/>
      <c r="O57" s="100"/>
      <c r="P57" s="45"/>
      <c r="Q57" s="100"/>
      <c r="R57" s="100"/>
      <c r="S57" s="42"/>
      <c r="T57" s="12">
        <f t="shared" si="14"/>
        <v>0</v>
      </c>
      <c r="U57" s="45"/>
      <c r="V57" s="12">
        <f>+T57*0</f>
        <v>0</v>
      </c>
      <c r="W57" s="12">
        <f t="shared" si="15"/>
        <v>0</v>
      </c>
      <c r="X57" s="116"/>
      <c r="Y57" s="117">
        <f t="shared" si="18"/>
        <v>26000</v>
      </c>
      <c r="Z57" s="12"/>
      <c r="AA57" s="12">
        <f t="shared" si="10"/>
        <v>26000</v>
      </c>
      <c r="AB57" s="12">
        <v>0.3</v>
      </c>
      <c r="AC57" s="12">
        <f t="shared" si="11"/>
        <v>78</v>
      </c>
      <c r="AD57" s="42"/>
      <c r="AE57" s="12"/>
    </row>
    <row r="58" spans="1:31" s="7" customFormat="1" ht="23.25">
      <c r="A58" s="42"/>
      <c r="B58" s="42"/>
      <c r="C58" s="45"/>
      <c r="D58" s="45"/>
      <c r="E58" s="45"/>
      <c r="F58" s="47"/>
      <c r="G58" s="42"/>
      <c r="H58" s="42"/>
      <c r="I58" s="44"/>
      <c r="J58" s="44">
        <f t="shared" si="13"/>
        <v>0</v>
      </c>
      <c r="K58" s="42"/>
      <c r="L58" s="42">
        <f t="shared" si="17"/>
        <v>0</v>
      </c>
      <c r="M58" s="42"/>
      <c r="N58" s="5"/>
      <c r="O58" s="6"/>
      <c r="P58" s="13"/>
      <c r="Q58" s="6"/>
      <c r="R58" s="6"/>
      <c r="S58" s="5"/>
      <c r="T58" s="12">
        <f t="shared" si="14"/>
        <v>0</v>
      </c>
      <c r="U58" s="45"/>
      <c r="V58" s="12">
        <f>+T58*0</f>
        <v>0</v>
      </c>
      <c r="W58" s="12">
        <f t="shared" si="15"/>
        <v>0</v>
      </c>
      <c r="X58" s="116"/>
      <c r="Y58" s="117">
        <f t="shared" si="18"/>
        <v>0</v>
      </c>
      <c r="Z58" s="12"/>
      <c r="AA58" s="12">
        <f t="shared" si="10"/>
        <v>0</v>
      </c>
      <c r="AB58" s="12"/>
      <c r="AC58" s="12">
        <f t="shared" si="11"/>
        <v>0</v>
      </c>
      <c r="AD58" s="42"/>
      <c r="AE58" s="42"/>
    </row>
    <row r="59" spans="1:31" s="7" customFormat="1" ht="23.25">
      <c r="A59" s="42"/>
      <c r="B59" s="42"/>
      <c r="C59" s="45"/>
      <c r="D59" s="45"/>
      <c r="E59" s="45"/>
      <c r="F59" s="47"/>
      <c r="G59" s="42"/>
      <c r="H59" s="42"/>
      <c r="I59" s="44"/>
      <c r="J59" s="44">
        <f aca="true" t="shared" si="19" ref="J59:J90">+I59+(H59*100)+(G59*400)</f>
        <v>0</v>
      </c>
      <c r="K59" s="42"/>
      <c r="L59" s="42">
        <f t="shared" si="17"/>
        <v>0</v>
      </c>
      <c r="M59" s="42"/>
      <c r="N59" s="42"/>
      <c r="O59" s="42"/>
      <c r="P59" s="45"/>
      <c r="Q59" s="42"/>
      <c r="R59" s="42"/>
      <c r="S59" s="42"/>
      <c r="T59" s="12">
        <f aca="true" t="shared" si="20" ref="T59:T90">+Q59*S59</f>
        <v>0</v>
      </c>
      <c r="U59" s="45"/>
      <c r="V59" s="12">
        <f>+T59*0</f>
        <v>0</v>
      </c>
      <c r="W59" s="12">
        <f aca="true" t="shared" si="21" ref="W59:W90">+T59-V59</f>
        <v>0</v>
      </c>
      <c r="X59" s="116"/>
      <c r="Y59" s="117">
        <f t="shared" si="18"/>
        <v>0</v>
      </c>
      <c r="Z59" s="12"/>
      <c r="AA59" s="12">
        <f t="shared" si="10"/>
        <v>0</v>
      </c>
      <c r="AB59" s="12"/>
      <c r="AC59" s="12">
        <f t="shared" si="11"/>
        <v>0</v>
      </c>
      <c r="AD59" s="42"/>
      <c r="AE59" s="42"/>
    </row>
    <row r="60" spans="1:31" s="7" customFormat="1" ht="23.25">
      <c r="A60" s="42" t="s">
        <v>0</v>
      </c>
      <c r="B60" s="42" t="s">
        <v>1</v>
      </c>
      <c r="C60" s="45" t="s">
        <v>1172</v>
      </c>
      <c r="D60" s="45" t="s">
        <v>520</v>
      </c>
      <c r="E60" s="29" t="s">
        <v>907</v>
      </c>
      <c r="F60" s="47">
        <v>3</v>
      </c>
      <c r="G60" s="42"/>
      <c r="H60" s="42"/>
      <c r="I60" s="44">
        <v>64.4</v>
      </c>
      <c r="J60" s="44">
        <f t="shared" si="19"/>
        <v>64.4</v>
      </c>
      <c r="K60" s="42">
        <v>20000</v>
      </c>
      <c r="L60" s="12">
        <f t="shared" si="17"/>
        <v>1288000</v>
      </c>
      <c r="M60" s="42"/>
      <c r="N60" s="42" t="s">
        <v>65</v>
      </c>
      <c r="O60" s="101" t="s">
        <v>446</v>
      </c>
      <c r="P60" s="45">
        <v>3</v>
      </c>
      <c r="Q60" s="42">
        <f>80+48</f>
        <v>128</v>
      </c>
      <c r="R60" s="42"/>
      <c r="S60" s="42">
        <v>6450</v>
      </c>
      <c r="T60" s="12">
        <f t="shared" si="20"/>
        <v>825600</v>
      </c>
      <c r="U60" s="45" t="s">
        <v>150</v>
      </c>
      <c r="V60" s="12">
        <f>+T60*0.04</f>
        <v>33024</v>
      </c>
      <c r="W60" s="12">
        <f t="shared" si="21"/>
        <v>792576</v>
      </c>
      <c r="X60" s="116"/>
      <c r="Y60" s="117">
        <f t="shared" si="18"/>
        <v>2080576</v>
      </c>
      <c r="Z60" s="12"/>
      <c r="AA60" s="12">
        <f t="shared" si="10"/>
        <v>2080576</v>
      </c>
      <c r="AB60" s="12">
        <v>0.3</v>
      </c>
      <c r="AC60" s="12">
        <f t="shared" si="11"/>
        <v>6241.727999999999</v>
      </c>
      <c r="AD60" s="42" t="s">
        <v>1173</v>
      </c>
      <c r="AE60" s="42"/>
    </row>
    <row r="61" spans="1:31" s="7" customFormat="1" ht="23.25">
      <c r="A61" s="42"/>
      <c r="B61" s="42"/>
      <c r="C61" s="45"/>
      <c r="D61" s="45"/>
      <c r="E61" s="45"/>
      <c r="F61" s="47"/>
      <c r="G61" s="42"/>
      <c r="H61" s="42"/>
      <c r="I61" s="44"/>
      <c r="J61" s="44">
        <f t="shared" si="19"/>
        <v>0</v>
      </c>
      <c r="K61" s="42"/>
      <c r="L61" s="42">
        <f t="shared" si="17"/>
        <v>0</v>
      </c>
      <c r="M61" s="42"/>
      <c r="N61" s="5"/>
      <c r="O61" s="6"/>
      <c r="P61" s="13"/>
      <c r="Q61" s="6"/>
      <c r="R61" s="6"/>
      <c r="S61" s="5"/>
      <c r="T61" s="12">
        <f t="shared" si="20"/>
        <v>0</v>
      </c>
      <c r="U61" s="45"/>
      <c r="V61" s="12">
        <f>+T61*0</f>
        <v>0</v>
      </c>
      <c r="W61" s="12">
        <f t="shared" si="21"/>
        <v>0</v>
      </c>
      <c r="X61" s="116"/>
      <c r="Y61" s="117">
        <f t="shared" si="18"/>
        <v>0</v>
      </c>
      <c r="Z61" s="12"/>
      <c r="AA61" s="12">
        <f t="shared" si="10"/>
        <v>0</v>
      </c>
      <c r="AB61" s="12"/>
      <c r="AC61" s="12">
        <f t="shared" si="11"/>
        <v>0</v>
      </c>
      <c r="AD61" s="42"/>
      <c r="AE61" s="42"/>
    </row>
    <row r="62" spans="1:31" s="7" customFormat="1" ht="23.25">
      <c r="A62" s="42"/>
      <c r="B62" s="42"/>
      <c r="C62" s="45"/>
      <c r="D62" s="45"/>
      <c r="E62" s="45"/>
      <c r="F62" s="47"/>
      <c r="G62" s="42"/>
      <c r="H62" s="42"/>
      <c r="I62" s="44"/>
      <c r="J62" s="44">
        <f t="shared" si="19"/>
        <v>0</v>
      </c>
      <c r="K62" s="42"/>
      <c r="L62" s="42">
        <f t="shared" si="17"/>
        <v>0</v>
      </c>
      <c r="M62" s="42"/>
      <c r="N62" s="42"/>
      <c r="O62" s="42"/>
      <c r="P62" s="45"/>
      <c r="Q62" s="42"/>
      <c r="R62" s="42"/>
      <c r="S62" s="42"/>
      <c r="T62" s="12">
        <f t="shared" si="20"/>
        <v>0</v>
      </c>
      <c r="U62" s="45"/>
      <c r="V62" s="12">
        <f>+T62*0</f>
        <v>0</v>
      </c>
      <c r="W62" s="12">
        <f t="shared" si="21"/>
        <v>0</v>
      </c>
      <c r="X62" s="116"/>
      <c r="Y62" s="117">
        <f t="shared" si="18"/>
        <v>0</v>
      </c>
      <c r="Z62" s="12"/>
      <c r="AA62" s="12">
        <f t="shared" si="10"/>
        <v>0</v>
      </c>
      <c r="AB62" s="12"/>
      <c r="AC62" s="12">
        <f t="shared" si="11"/>
        <v>0</v>
      </c>
      <c r="AD62" s="42"/>
      <c r="AE62" s="42"/>
    </row>
    <row r="63" spans="1:31" s="7" customFormat="1" ht="23.25">
      <c r="A63" s="42" t="s">
        <v>0</v>
      </c>
      <c r="B63" s="42" t="s">
        <v>1</v>
      </c>
      <c r="C63" s="45" t="s">
        <v>1174</v>
      </c>
      <c r="D63" s="45" t="s">
        <v>521</v>
      </c>
      <c r="E63" s="29" t="s">
        <v>907</v>
      </c>
      <c r="F63" s="47">
        <v>3</v>
      </c>
      <c r="G63" s="42">
        <v>2</v>
      </c>
      <c r="H63" s="42"/>
      <c r="I63" s="44"/>
      <c r="J63" s="44">
        <f t="shared" si="19"/>
        <v>800</v>
      </c>
      <c r="K63" s="42">
        <v>5250</v>
      </c>
      <c r="L63" s="12">
        <f>+K63*J63</f>
        <v>4200000</v>
      </c>
      <c r="M63" s="42"/>
      <c r="N63" s="42" t="s">
        <v>64</v>
      </c>
      <c r="O63" s="101" t="s">
        <v>446</v>
      </c>
      <c r="P63" s="45">
        <v>3</v>
      </c>
      <c r="Q63" s="100">
        <v>72</v>
      </c>
      <c r="R63" s="100"/>
      <c r="S63" s="42">
        <v>6550</v>
      </c>
      <c r="T63" s="12">
        <f t="shared" si="20"/>
        <v>471600</v>
      </c>
      <c r="U63" s="102" t="s">
        <v>84</v>
      </c>
      <c r="V63" s="12">
        <f>+T63*0.2</f>
        <v>94320</v>
      </c>
      <c r="W63" s="12">
        <f t="shared" si="21"/>
        <v>377280</v>
      </c>
      <c r="X63" s="116"/>
      <c r="Y63" s="117">
        <f t="shared" si="18"/>
        <v>4577280</v>
      </c>
      <c r="Z63" s="12"/>
      <c r="AA63" s="12">
        <f>+Y63-Z63</f>
        <v>4577280</v>
      </c>
      <c r="AB63" s="12">
        <v>0.3</v>
      </c>
      <c r="AC63" s="12">
        <f>+AA63*AB63/100</f>
        <v>13731.84</v>
      </c>
      <c r="AD63" s="42"/>
      <c r="AE63" s="12"/>
    </row>
    <row r="64" spans="1:31" s="7" customFormat="1" ht="23.25">
      <c r="A64" s="42"/>
      <c r="B64" s="42"/>
      <c r="C64" s="45"/>
      <c r="D64" s="45"/>
      <c r="E64" s="45"/>
      <c r="F64" s="47"/>
      <c r="G64" s="42"/>
      <c r="H64" s="42"/>
      <c r="I64" s="44"/>
      <c r="J64" s="44">
        <f t="shared" si="19"/>
        <v>0</v>
      </c>
      <c r="K64" s="42"/>
      <c r="L64" s="42">
        <f t="shared" si="17"/>
        <v>0</v>
      </c>
      <c r="M64" s="42"/>
      <c r="N64" s="42"/>
      <c r="O64" s="42"/>
      <c r="P64" s="45"/>
      <c r="Q64" s="42"/>
      <c r="R64" s="42"/>
      <c r="S64" s="42"/>
      <c r="T64" s="12">
        <f t="shared" si="20"/>
        <v>0</v>
      </c>
      <c r="U64" s="45"/>
      <c r="V64" s="12">
        <f>+T64*0</f>
        <v>0</v>
      </c>
      <c r="W64" s="12">
        <f t="shared" si="21"/>
        <v>0</v>
      </c>
      <c r="X64" s="116"/>
      <c r="Y64" s="117">
        <f t="shared" si="18"/>
        <v>0</v>
      </c>
      <c r="Z64" s="12"/>
      <c r="AA64" s="12">
        <f t="shared" si="10"/>
        <v>0</v>
      </c>
      <c r="AB64" s="12"/>
      <c r="AC64" s="12">
        <f t="shared" si="11"/>
        <v>0</v>
      </c>
      <c r="AD64" s="42"/>
      <c r="AE64" s="42"/>
    </row>
    <row r="65" spans="1:31" s="7" customFormat="1" ht="23.25">
      <c r="A65" s="42"/>
      <c r="B65" s="42"/>
      <c r="C65" s="45"/>
      <c r="D65" s="45"/>
      <c r="E65" s="45"/>
      <c r="F65" s="47"/>
      <c r="G65" s="42"/>
      <c r="H65" s="42"/>
      <c r="I65" s="44"/>
      <c r="J65" s="44">
        <f t="shared" si="19"/>
        <v>0</v>
      </c>
      <c r="K65" s="42"/>
      <c r="L65" s="42">
        <f t="shared" si="17"/>
        <v>0</v>
      </c>
      <c r="M65" s="42"/>
      <c r="N65" s="42"/>
      <c r="O65" s="42"/>
      <c r="P65" s="45"/>
      <c r="Q65" s="42"/>
      <c r="R65" s="42"/>
      <c r="S65" s="42"/>
      <c r="T65" s="12">
        <f t="shared" si="20"/>
        <v>0</v>
      </c>
      <c r="U65" s="45"/>
      <c r="V65" s="12">
        <f>+T65*0</f>
        <v>0</v>
      </c>
      <c r="W65" s="12">
        <f t="shared" si="21"/>
        <v>0</v>
      </c>
      <c r="X65" s="116"/>
      <c r="Y65" s="117">
        <f t="shared" si="18"/>
        <v>0</v>
      </c>
      <c r="Z65" s="12"/>
      <c r="AA65" s="12">
        <f t="shared" si="10"/>
        <v>0</v>
      </c>
      <c r="AB65" s="12"/>
      <c r="AC65" s="12">
        <f t="shared" si="11"/>
        <v>0</v>
      </c>
      <c r="AD65" s="42"/>
      <c r="AE65" s="42"/>
    </row>
    <row r="66" spans="1:31" s="7" customFormat="1" ht="23.25">
      <c r="A66" s="42" t="s">
        <v>0</v>
      </c>
      <c r="B66" s="42" t="s">
        <v>1</v>
      </c>
      <c r="C66" s="45" t="s">
        <v>1175</v>
      </c>
      <c r="D66" s="48" t="s">
        <v>522</v>
      </c>
      <c r="E66" s="29" t="s">
        <v>907</v>
      </c>
      <c r="F66" s="47">
        <v>2</v>
      </c>
      <c r="G66" s="42">
        <v>2</v>
      </c>
      <c r="H66" s="42"/>
      <c r="I66" s="44">
        <v>4.7</v>
      </c>
      <c r="J66" s="44">
        <f t="shared" si="19"/>
        <v>804.7</v>
      </c>
      <c r="K66" s="42">
        <v>8000</v>
      </c>
      <c r="L66" s="12">
        <f t="shared" si="17"/>
        <v>6437600</v>
      </c>
      <c r="M66" s="42"/>
      <c r="N66" s="42" t="s">
        <v>64</v>
      </c>
      <c r="O66" s="101" t="s">
        <v>446</v>
      </c>
      <c r="P66" s="45">
        <v>2</v>
      </c>
      <c r="Q66" s="100">
        <v>73.5</v>
      </c>
      <c r="R66" s="100"/>
      <c r="S66" s="42">
        <v>6550</v>
      </c>
      <c r="T66" s="12">
        <f t="shared" si="20"/>
        <v>481425</v>
      </c>
      <c r="U66" s="102" t="s">
        <v>84</v>
      </c>
      <c r="V66" s="12">
        <f>+T66*0.2</f>
        <v>96285</v>
      </c>
      <c r="W66" s="12">
        <f t="shared" si="21"/>
        <v>385140</v>
      </c>
      <c r="X66" s="116"/>
      <c r="Y66" s="117">
        <f t="shared" si="18"/>
        <v>6822740</v>
      </c>
      <c r="Z66" s="12"/>
      <c r="AA66" s="12">
        <f t="shared" si="10"/>
        <v>6822740</v>
      </c>
      <c r="AB66" s="12">
        <v>0.02</v>
      </c>
      <c r="AC66" s="12">
        <f t="shared" si="11"/>
        <v>1364.5479999999998</v>
      </c>
      <c r="AD66" s="42"/>
      <c r="AE66" s="12"/>
    </row>
    <row r="67" spans="1:31" s="7" customFormat="1" ht="23.25">
      <c r="A67" s="42"/>
      <c r="B67" s="42"/>
      <c r="C67" s="45"/>
      <c r="D67" s="45"/>
      <c r="E67" s="45"/>
      <c r="F67" s="47"/>
      <c r="G67" s="42"/>
      <c r="H67" s="42"/>
      <c r="I67" s="44"/>
      <c r="J67" s="44">
        <f t="shared" si="19"/>
        <v>0</v>
      </c>
      <c r="K67" s="42"/>
      <c r="L67" s="42">
        <f t="shared" si="17"/>
        <v>0</v>
      </c>
      <c r="M67" s="42"/>
      <c r="N67" s="42"/>
      <c r="O67" s="42"/>
      <c r="P67" s="45"/>
      <c r="Q67" s="42"/>
      <c r="R67" s="42"/>
      <c r="S67" s="42"/>
      <c r="T67" s="12">
        <f t="shared" si="20"/>
        <v>0</v>
      </c>
      <c r="U67" s="45"/>
      <c r="V67" s="12">
        <f>+T67*0</f>
        <v>0</v>
      </c>
      <c r="W67" s="12">
        <f t="shared" si="21"/>
        <v>0</v>
      </c>
      <c r="X67" s="116"/>
      <c r="Y67" s="117">
        <f t="shared" si="18"/>
        <v>0</v>
      </c>
      <c r="Z67" s="12"/>
      <c r="AA67" s="12">
        <f t="shared" si="10"/>
        <v>0</v>
      </c>
      <c r="AB67" s="12"/>
      <c r="AC67" s="12">
        <f t="shared" si="11"/>
        <v>0</v>
      </c>
      <c r="AD67" s="42"/>
      <c r="AE67" s="42"/>
    </row>
    <row r="68" spans="1:31" s="7" customFormat="1" ht="23.25">
      <c r="A68" s="42"/>
      <c r="B68" s="42"/>
      <c r="C68" s="45"/>
      <c r="D68" s="45"/>
      <c r="E68" s="45"/>
      <c r="F68" s="47"/>
      <c r="G68" s="42"/>
      <c r="H68" s="42"/>
      <c r="I68" s="44"/>
      <c r="J68" s="44">
        <f t="shared" si="19"/>
        <v>0</v>
      </c>
      <c r="K68" s="42"/>
      <c r="L68" s="42">
        <f t="shared" si="17"/>
        <v>0</v>
      </c>
      <c r="M68" s="42"/>
      <c r="N68" s="42"/>
      <c r="O68" s="42"/>
      <c r="P68" s="45"/>
      <c r="Q68" s="42"/>
      <c r="R68" s="42"/>
      <c r="S68" s="42"/>
      <c r="T68" s="12">
        <f t="shared" si="20"/>
        <v>0</v>
      </c>
      <c r="U68" s="45"/>
      <c r="V68" s="12">
        <f>+T68*0</f>
        <v>0</v>
      </c>
      <c r="W68" s="12">
        <f t="shared" si="21"/>
        <v>0</v>
      </c>
      <c r="X68" s="116"/>
      <c r="Y68" s="117">
        <f t="shared" si="18"/>
        <v>0</v>
      </c>
      <c r="Z68" s="12"/>
      <c r="AA68" s="12">
        <f t="shared" si="10"/>
        <v>0</v>
      </c>
      <c r="AB68" s="12"/>
      <c r="AC68" s="12">
        <f t="shared" si="11"/>
        <v>0</v>
      </c>
      <c r="AD68" s="42"/>
      <c r="AE68" s="42"/>
    </row>
    <row r="69" spans="1:31" s="7" customFormat="1" ht="23.25">
      <c r="A69" s="42" t="s">
        <v>0</v>
      </c>
      <c r="B69" s="42" t="s">
        <v>1</v>
      </c>
      <c r="C69" s="45" t="s">
        <v>1176</v>
      </c>
      <c r="D69" s="45" t="s">
        <v>523</v>
      </c>
      <c r="E69" s="30" t="s">
        <v>908</v>
      </c>
      <c r="F69" s="47">
        <v>3</v>
      </c>
      <c r="G69" s="42"/>
      <c r="H69" s="42"/>
      <c r="I69" s="44">
        <v>57.9</v>
      </c>
      <c r="J69" s="44">
        <f t="shared" si="19"/>
        <v>57.9</v>
      </c>
      <c r="K69" s="42">
        <v>100000</v>
      </c>
      <c r="L69" s="12">
        <f t="shared" si="17"/>
        <v>5790000</v>
      </c>
      <c r="M69" s="42"/>
      <c r="N69" s="42" t="s">
        <v>159</v>
      </c>
      <c r="O69" s="101" t="s">
        <v>446</v>
      </c>
      <c r="P69" s="45">
        <v>3</v>
      </c>
      <c r="Q69" s="100">
        <f>272*3</f>
        <v>816</v>
      </c>
      <c r="R69" s="100"/>
      <c r="S69" s="42">
        <v>7550</v>
      </c>
      <c r="T69" s="12">
        <f t="shared" si="20"/>
        <v>6160800</v>
      </c>
      <c r="U69" s="102" t="s">
        <v>84</v>
      </c>
      <c r="V69" s="12">
        <f>+T69*0.2</f>
        <v>1232160</v>
      </c>
      <c r="W69" s="12">
        <f t="shared" si="21"/>
        <v>4928640</v>
      </c>
      <c r="X69" s="116"/>
      <c r="Y69" s="117">
        <f t="shared" si="18"/>
        <v>10718640</v>
      </c>
      <c r="Z69" s="12"/>
      <c r="AA69" s="12">
        <f t="shared" si="10"/>
        <v>10718640</v>
      </c>
      <c r="AB69" s="12">
        <v>0.3</v>
      </c>
      <c r="AC69" s="12">
        <f t="shared" si="11"/>
        <v>32155.92</v>
      </c>
      <c r="AD69" s="42"/>
      <c r="AE69" s="12" t="e">
        <f>+AC69*#REF!/#REF!</f>
        <v>#REF!</v>
      </c>
    </row>
    <row r="70" spans="1:31" s="7" customFormat="1" ht="23.25">
      <c r="A70" s="42" t="s">
        <v>0</v>
      </c>
      <c r="B70" s="42" t="s">
        <v>1</v>
      </c>
      <c r="C70" s="45" t="s">
        <v>1177</v>
      </c>
      <c r="D70" s="45" t="s">
        <v>524</v>
      </c>
      <c r="E70" s="30" t="s">
        <v>908</v>
      </c>
      <c r="F70" s="47">
        <v>3</v>
      </c>
      <c r="G70" s="42"/>
      <c r="H70" s="42"/>
      <c r="I70" s="44">
        <v>58.7</v>
      </c>
      <c r="J70" s="44">
        <f t="shared" si="19"/>
        <v>58.7</v>
      </c>
      <c r="K70" s="42">
        <v>100000</v>
      </c>
      <c r="L70" s="12">
        <f t="shared" si="17"/>
        <v>5870000</v>
      </c>
      <c r="M70" s="42"/>
      <c r="N70" s="42" t="s">
        <v>184</v>
      </c>
      <c r="O70" s="101" t="s">
        <v>446</v>
      </c>
      <c r="P70" s="45">
        <v>3</v>
      </c>
      <c r="Q70" s="100">
        <f>204*2</f>
        <v>408</v>
      </c>
      <c r="R70" s="100"/>
      <c r="S70" s="42">
        <v>7550</v>
      </c>
      <c r="T70" s="12">
        <f t="shared" si="20"/>
        <v>3080400</v>
      </c>
      <c r="U70" s="102" t="s">
        <v>84</v>
      </c>
      <c r="V70" s="12">
        <f>+T70*0.2</f>
        <v>616080</v>
      </c>
      <c r="W70" s="12">
        <f t="shared" si="21"/>
        <v>2464320</v>
      </c>
      <c r="X70" s="116"/>
      <c r="Y70" s="117">
        <f t="shared" si="18"/>
        <v>8334320</v>
      </c>
      <c r="Z70" s="12"/>
      <c r="AA70" s="12">
        <f t="shared" si="10"/>
        <v>8334320</v>
      </c>
      <c r="AB70" s="12">
        <v>0.3</v>
      </c>
      <c r="AC70" s="12">
        <f t="shared" si="11"/>
        <v>25002.96</v>
      </c>
      <c r="AD70" s="42"/>
      <c r="AE70" s="12" t="e">
        <f>+AC70*#REF!/#REF!</f>
        <v>#REF!</v>
      </c>
    </row>
    <row r="71" spans="1:31" s="7" customFormat="1" ht="23.25">
      <c r="A71" s="42" t="s">
        <v>0</v>
      </c>
      <c r="B71" s="42" t="s">
        <v>1</v>
      </c>
      <c r="C71" s="45" t="s">
        <v>1178</v>
      </c>
      <c r="D71" s="45" t="s">
        <v>525</v>
      </c>
      <c r="E71" s="30" t="s">
        <v>909</v>
      </c>
      <c r="F71" s="47">
        <v>3</v>
      </c>
      <c r="G71" s="42">
        <v>1</v>
      </c>
      <c r="H71" s="42"/>
      <c r="I71" s="44">
        <v>80</v>
      </c>
      <c r="J71" s="44">
        <f t="shared" si="19"/>
        <v>480</v>
      </c>
      <c r="K71" s="42">
        <v>30000</v>
      </c>
      <c r="L71" s="12">
        <f t="shared" si="17"/>
        <v>14400000</v>
      </c>
      <c r="M71" s="42"/>
      <c r="N71" s="42" t="s">
        <v>1179</v>
      </c>
      <c r="O71" s="42"/>
      <c r="P71" s="45"/>
      <c r="Q71" s="42"/>
      <c r="R71" s="42"/>
      <c r="S71" s="42"/>
      <c r="T71" s="12">
        <f t="shared" si="20"/>
        <v>0</v>
      </c>
      <c r="U71" s="45"/>
      <c r="V71" s="12">
        <f>+T71*0</f>
        <v>0</v>
      </c>
      <c r="W71" s="12">
        <f t="shared" si="21"/>
        <v>0</v>
      </c>
      <c r="X71" s="116"/>
      <c r="Y71" s="117">
        <f t="shared" si="18"/>
        <v>14400000</v>
      </c>
      <c r="Z71" s="12"/>
      <c r="AA71" s="12">
        <f t="shared" si="10"/>
        <v>14400000</v>
      </c>
      <c r="AB71" s="12">
        <v>0.3</v>
      </c>
      <c r="AC71" s="12">
        <f t="shared" si="11"/>
        <v>43200</v>
      </c>
      <c r="AD71" s="42"/>
      <c r="AE71" s="12" t="e">
        <f>+AC71*#REF!/#REF!</f>
        <v>#REF!</v>
      </c>
    </row>
    <row r="72" spans="1:31" s="7" customFormat="1" ht="23.25">
      <c r="A72" s="42"/>
      <c r="B72" s="42"/>
      <c r="C72" s="45"/>
      <c r="D72" s="45"/>
      <c r="E72" s="45"/>
      <c r="F72" s="47"/>
      <c r="G72" s="42"/>
      <c r="H72" s="42"/>
      <c r="I72" s="44"/>
      <c r="J72" s="44">
        <f t="shared" si="19"/>
        <v>0</v>
      </c>
      <c r="K72" s="42"/>
      <c r="L72" s="42">
        <f t="shared" si="17"/>
        <v>0</v>
      </c>
      <c r="M72" s="42"/>
      <c r="N72" s="42"/>
      <c r="O72" s="42"/>
      <c r="P72" s="45"/>
      <c r="Q72" s="42"/>
      <c r="R72" s="42"/>
      <c r="S72" s="42"/>
      <c r="T72" s="12">
        <f t="shared" si="20"/>
        <v>0</v>
      </c>
      <c r="U72" s="45"/>
      <c r="V72" s="12">
        <f>+T72*0</f>
        <v>0</v>
      </c>
      <c r="W72" s="12">
        <f t="shared" si="21"/>
        <v>0</v>
      </c>
      <c r="X72" s="116"/>
      <c r="Y72" s="117">
        <f t="shared" si="18"/>
        <v>0</v>
      </c>
      <c r="Z72" s="12"/>
      <c r="AA72" s="12">
        <f aca="true" t="shared" si="22" ref="AA72:AA114">+Y72-Z72</f>
        <v>0</v>
      </c>
      <c r="AB72" s="12"/>
      <c r="AC72" s="12">
        <f aca="true" t="shared" si="23" ref="AC72:AC114">+AA72*AB72/100</f>
        <v>0</v>
      </c>
      <c r="AD72" s="42"/>
      <c r="AE72" s="42"/>
    </row>
    <row r="73" spans="1:31" s="7" customFormat="1" ht="23.25">
      <c r="A73" s="42"/>
      <c r="B73" s="42"/>
      <c r="C73" s="45"/>
      <c r="D73" s="45"/>
      <c r="E73" s="45"/>
      <c r="F73" s="47"/>
      <c r="G73" s="42"/>
      <c r="H73" s="42"/>
      <c r="I73" s="44"/>
      <c r="J73" s="44">
        <f t="shared" si="19"/>
        <v>0</v>
      </c>
      <c r="K73" s="42"/>
      <c r="L73" s="42">
        <f t="shared" si="17"/>
        <v>0</v>
      </c>
      <c r="M73" s="42"/>
      <c r="N73" s="42"/>
      <c r="O73" s="42"/>
      <c r="P73" s="45"/>
      <c r="Q73" s="42"/>
      <c r="R73" s="42"/>
      <c r="S73" s="42"/>
      <c r="T73" s="12">
        <f t="shared" si="20"/>
        <v>0</v>
      </c>
      <c r="U73" s="45"/>
      <c r="V73" s="12">
        <f>+T73*0</f>
        <v>0</v>
      </c>
      <c r="W73" s="12">
        <f t="shared" si="21"/>
        <v>0</v>
      </c>
      <c r="X73" s="116"/>
      <c r="Y73" s="117">
        <f t="shared" si="18"/>
        <v>0</v>
      </c>
      <c r="Z73" s="12"/>
      <c r="AA73" s="12">
        <f t="shared" si="22"/>
        <v>0</v>
      </c>
      <c r="AB73" s="12"/>
      <c r="AC73" s="12">
        <f t="shared" si="23"/>
        <v>0</v>
      </c>
      <c r="AD73" s="42"/>
      <c r="AE73" s="42"/>
    </row>
    <row r="74" spans="1:31" s="7" customFormat="1" ht="23.25">
      <c r="A74" s="42" t="s">
        <v>0</v>
      </c>
      <c r="B74" s="42" t="s">
        <v>1</v>
      </c>
      <c r="C74" s="45" t="s">
        <v>1180</v>
      </c>
      <c r="D74" s="45" t="s">
        <v>782</v>
      </c>
      <c r="E74" s="29" t="s">
        <v>907</v>
      </c>
      <c r="F74" s="47" t="s">
        <v>137</v>
      </c>
      <c r="G74" s="42"/>
      <c r="H74" s="42"/>
      <c r="I74" s="44">
        <v>9</v>
      </c>
      <c r="J74" s="44">
        <f t="shared" si="19"/>
        <v>9</v>
      </c>
      <c r="K74" s="42">
        <v>15000</v>
      </c>
      <c r="L74" s="12">
        <f t="shared" si="17"/>
        <v>135000</v>
      </c>
      <c r="M74" s="42"/>
      <c r="N74" s="42" t="s">
        <v>62</v>
      </c>
      <c r="O74" s="101" t="s">
        <v>446</v>
      </c>
      <c r="P74" s="45">
        <v>2</v>
      </c>
      <c r="Q74" s="100">
        <v>112</v>
      </c>
      <c r="R74" s="100"/>
      <c r="S74" s="42">
        <v>6750</v>
      </c>
      <c r="T74" s="12">
        <f t="shared" si="20"/>
        <v>756000</v>
      </c>
      <c r="U74" s="102" t="s">
        <v>84</v>
      </c>
      <c r="V74" s="12">
        <f>+T74*0.2</f>
        <v>151200</v>
      </c>
      <c r="W74" s="12">
        <f t="shared" si="21"/>
        <v>604800</v>
      </c>
      <c r="X74" s="116"/>
      <c r="Y74" s="117">
        <f t="shared" si="18"/>
        <v>739800</v>
      </c>
      <c r="Z74" s="12"/>
      <c r="AA74" s="12">
        <f t="shared" si="22"/>
        <v>739800</v>
      </c>
      <c r="AB74" s="12">
        <v>0.02</v>
      </c>
      <c r="AC74" s="12">
        <f t="shared" si="23"/>
        <v>147.96</v>
      </c>
      <c r="AD74" s="42"/>
      <c r="AE74" s="12"/>
    </row>
    <row r="75" spans="1:31" s="7" customFormat="1" ht="23.25">
      <c r="A75" s="42" t="s">
        <v>0</v>
      </c>
      <c r="B75" s="42" t="s">
        <v>1</v>
      </c>
      <c r="C75" s="45" t="s">
        <v>1181</v>
      </c>
      <c r="D75" s="45" t="s">
        <v>783</v>
      </c>
      <c r="E75" s="29" t="s">
        <v>907</v>
      </c>
      <c r="F75" s="47" t="s">
        <v>137</v>
      </c>
      <c r="G75" s="42"/>
      <c r="H75" s="42"/>
      <c r="I75" s="44">
        <v>9</v>
      </c>
      <c r="J75" s="44">
        <f t="shared" si="19"/>
        <v>9</v>
      </c>
      <c r="K75" s="42">
        <v>15000</v>
      </c>
      <c r="L75" s="12">
        <f t="shared" si="17"/>
        <v>135000</v>
      </c>
      <c r="M75" s="42"/>
      <c r="N75" s="42"/>
      <c r="O75" s="100"/>
      <c r="P75" s="45"/>
      <c r="Q75" s="100"/>
      <c r="R75" s="100"/>
      <c r="S75" s="42"/>
      <c r="T75" s="12">
        <f t="shared" si="20"/>
        <v>0</v>
      </c>
      <c r="U75" s="45"/>
      <c r="V75" s="12">
        <f>+T75*0</f>
        <v>0</v>
      </c>
      <c r="W75" s="12">
        <f t="shared" si="21"/>
        <v>0</v>
      </c>
      <c r="X75" s="116"/>
      <c r="Y75" s="117">
        <f t="shared" si="18"/>
        <v>135000</v>
      </c>
      <c r="Z75" s="12"/>
      <c r="AA75" s="12">
        <f t="shared" si="22"/>
        <v>135000</v>
      </c>
      <c r="AB75" s="12">
        <v>0.02</v>
      </c>
      <c r="AC75" s="12">
        <f t="shared" si="23"/>
        <v>27</v>
      </c>
      <c r="AD75" s="42"/>
      <c r="AE75" s="12"/>
    </row>
    <row r="76" spans="1:31" s="7" customFormat="1" ht="23.25">
      <c r="A76" s="42" t="s">
        <v>0</v>
      </c>
      <c r="B76" s="42" t="s">
        <v>1</v>
      </c>
      <c r="C76" s="45" t="s">
        <v>1182</v>
      </c>
      <c r="D76" s="45" t="s">
        <v>784</v>
      </c>
      <c r="E76" s="29" t="s">
        <v>907</v>
      </c>
      <c r="F76" s="47">
        <v>2</v>
      </c>
      <c r="G76" s="42"/>
      <c r="H76" s="42"/>
      <c r="I76" s="44">
        <v>64.8</v>
      </c>
      <c r="J76" s="44">
        <f t="shared" si="19"/>
        <v>64.8</v>
      </c>
      <c r="K76" s="42">
        <v>20000</v>
      </c>
      <c r="L76" s="12">
        <f t="shared" si="17"/>
        <v>1296000</v>
      </c>
      <c r="M76" s="42"/>
      <c r="N76" s="42" t="s">
        <v>64</v>
      </c>
      <c r="O76" s="101" t="s">
        <v>446</v>
      </c>
      <c r="P76" s="45">
        <v>2</v>
      </c>
      <c r="Q76" s="100">
        <v>56</v>
      </c>
      <c r="R76" s="100"/>
      <c r="S76" s="42">
        <v>6550</v>
      </c>
      <c r="T76" s="12">
        <f t="shared" si="20"/>
        <v>366800</v>
      </c>
      <c r="U76" s="102" t="s">
        <v>665</v>
      </c>
      <c r="V76" s="12">
        <f>+T76*0.11</f>
        <v>40348</v>
      </c>
      <c r="W76" s="12">
        <f t="shared" si="21"/>
        <v>326452</v>
      </c>
      <c r="X76" s="116"/>
      <c r="Y76" s="117">
        <f t="shared" si="18"/>
        <v>1622452</v>
      </c>
      <c r="Z76" s="12">
        <f>+Y76</f>
        <v>1622452</v>
      </c>
      <c r="AA76" s="12">
        <f t="shared" si="22"/>
        <v>0</v>
      </c>
      <c r="AB76" s="12"/>
      <c r="AC76" s="12">
        <f t="shared" si="23"/>
        <v>0</v>
      </c>
      <c r="AD76" s="31" t="s">
        <v>906</v>
      </c>
      <c r="AE76" s="12"/>
    </row>
    <row r="77" spans="1:31" s="7" customFormat="1" ht="23.25">
      <c r="A77" s="42"/>
      <c r="B77" s="42"/>
      <c r="C77" s="45"/>
      <c r="D77" s="45"/>
      <c r="E77" s="45"/>
      <c r="F77" s="47"/>
      <c r="G77" s="42"/>
      <c r="H77" s="42"/>
      <c r="I77" s="44"/>
      <c r="J77" s="44">
        <f t="shared" si="19"/>
        <v>0</v>
      </c>
      <c r="K77" s="42"/>
      <c r="L77" s="42">
        <f t="shared" si="17"/>
        <v>0</v>
      </c>
      <c r="M77" s="42"/>
      <c r="N77" s="42"/>
      <c r="O77" s="42"/>
      <c r="P77" s="45"/>
      <c r="Q77" s="42"/>
      <c r="R77" s="42"/>
      <c r="S77" s="42"/>
      <c r="T77" s="12">
        <f t="shared" si="20"/>
        <v>0</v>
      </c>
      <c r="U77" s="45"/>
      <c r="V77" s="12">
        <f>+T77*0</f>
        <v>0</v>
      </c>
      <c r="W77" s="12">
        <f t="shared" si="21"/>
        <v>0</v>
      </c>
      <c r="X77" s="116"/>
      <c r="Y77" s="117">
        <f t="shared" si="18"/>
        <v>0</v>
      </c>
      <c r="Z77" s="12"/>
      <c r="AA77" s="12">
        <f t="shared" si="22"/>
        <v>0</v>
      </c>
      <c r="AB77" s="12"/>
      <c r="AC77" s="12">
        <f t="shared" si="23"/>
        <v>0</v>
      </c>
      <c r="AD77" s="42"/>
      <c r="AE77" s="42"/>
    </row>
    <row r="78" spans="1:31" s="7" customFormat="1" ht="23.25">
      <c r="A78" s="42" t="s">
        <v>0</v>
      </c>
      <c r="B78" s="42" t="s">
        <v>152</v>
      </c>
      <c r="C78" s="45" t="s">
        <v>1183</v>
      </c>
      <c r="D78" s="51" t="s">
        <v>785</v>
      </c>
      <c r="E78" s="30" t="s">
        <v>909</v>
      </c>
      <c r="F78" s="47">
        <v>1</v>
      </c>
      <c r="G78" s="42">
        <v>7</v>
      </c>
      <c r="H78" s="42">
        <v>3</v>
      </c>
      <c r="I78" s="44">
        <v>66</v>
      </c>
      <c r="J78" s="44">
        <f t="shared" si="19"/>
        <v>3166</v>
      </c>
      <c r="K78" s="42">
        <v>500</v>
      </c>
      <c r="L78" s="12">
        <f t="shared" si="17"/>
        <v>1583000</v>
      </c>
      <c r="M78" s="42"/>
      <c r="N78" s="42"/>
      <c r="O78" s="100"/>
      <c r="P78" s="45"/>
      <c r="Q78" s="100"/>
      <c r="R78" s="100"/>
      <c r="S78" s="42"/>
      <c r="T78" s="12">
        <f t="shared" si="20"/>
        <v>0</v>
      </c>
      <c r="U78" s="45"/>
      <c r="V78" s="12">
        <f>+T78*0</f>
        <v>0</v>
      </c>
      <c r="W78" s="12">
        <f t="shared" si="21"/>
        <v>0</v>
      </c>
      <c r="X78" s="116"/>
      <c r="Y78" s="117">
        <f aca="true" t="shared" si="24" ref="Y78:Y99">+L78+W78</f>
        <v>1583000</v>
      </c>
      <c r="Z78" s="12"/>
      <c r="AA78" s="12">
        <f t="shared" si="22"/>
        <v>1583000</v>
      </c>
      <c r="AB78" s="12">
        <v>0.01</v>
      </c>
      <c r="AC78" s="12">
        <f t="shared" si="23"/>
        <v>158.3</v>
      </c>
      <c r="AD78" s="42"/>
      <c r="AE78" s="42"/>
    </row>
    <row r="79" spans="1:31" s="7" customFormat="1" ht="23.25">
      <c r="A79" s="42"/>
      <c r="B79" s="42"/>
      <c r="C79" s="45"/>
      <c r="D79" s="45"/>
      <c r="E79" s="45"/>
      <c r="F79" s="47"/>
      <c r="G79" s="42"/>
      <c r="H79" s="42"/>
      <c r="I79" s="44"/>
      <c r="J79" s="44">
        <f t="shared" si="19"/>
        <v>0</v>
      </c>
      <c r="K79" s="42"/>
      <c r="L79" s="42">
        <f t="shared" si="17"/>
        <v>0</v>
      </c>
      <c r="M79" s="42"/>
      <c r="N79" s="5"/>
      <c r="O79" s="6"/>
      <c r="P79" s="13"/>
      <c r="Q79" s="6"/>
      <c r="R79" s="6"/>
      <c r="S79" s="5"/>
      <c r="T79" s="12">
        <f t="shared" si="20"/>
        <v>0</v>
      </c>
      <c r="U79" s="45"/>
      <c r="V79" s="12">
        <f>+T79*0</f>
        <v>0</v>
      </c>
      <c r="W79" s="12">
        <f t="shared" si="21"/>
        <v>0</v>
      </c>
      <c r="X79" s="116"/>
      <c r="Y79" s="117">
        <f t="shared" si="24"/>
        <v>0</v>
      </c>
      <c r="Z79" s="12"/>
      <c r="AA79" s="12">
        <f t="shared" si="22"/>
        <v>0</v>
      </c>
      <c r="AB79" s="12"/>
      <c r="AC79" s="12">
        <f t="shared" si="23"/>
        <v>0</v>
      </c>
      <c r="AD79" s="42"/>
      <c r="AE79" s="42"/>
    </row>
    <row r="80" spans="1:31" s="7" customFormat="1" ht="23.25">
      <c r="A80" s="42"/>
      <c r="B80" s="42"/>
      <c r="C80" s="45"/>
      <c r="D80" s="45"/>
      <c r="E80" s="45"/>
      <c r="F80" s="47"/>
      <c r="G80" s="42"/>
      <c r="H80" s="42"/>
      <c r="I80" s="44"/>
      <c r="J80" s="44">
        <f t="shared" si="19"/>
        <v>0</v>
      </c>
      <c r="K80" s="42"/>
      <c r="L80" s="42">
        <f t="shared" si="17"/>
        <v>0</v>
      </c>
      <c r="M80" s="42"/>
      <c r="N80" s="42"/>
      <c r="O80" s="42"/>
      <c r="P80" s="45"/>
      <c r="Q80" s="42"/>
      <c r="R80" s="42"/>
      <c r="S80" s="42"/>
      <c r="T80" s="12">
        <f t="shared" si="20"/>
        <v>0</v>
      </c>
      <c r="U80" s="45"/>
      <c r="V80" s="12">
        <f>+T80*0</f>
        <v>0</v>
      </c>
      <c r="W80" s="12">
        <f t="shared" si="21"/>
        <v>0</v>
      </c>
      <c r="X80" s="116"/>
      <c r="Y80" s="117">
        <f t="shared" si="24"/>
        <v>0</v>
      </c>
      <c r="Z80" s="12"/>
      <c r="AA80" s="12">
        <f t="shared" si="22"/>
        <v>0</v>
      </c>
      <c r="AB80" s="12"/>
      <c r="AC80" s="12">
        <f t="shared" si="23"/>
        <v>0</v>
      </c>
      <c r="AD80" s="42"/>
      <c r="AE80" s="42"/>
    </row>
    <row r="81" spans="1:31" s="7" customFormat="1" ht="23.25">
      <c r="A81" s="42" t="s">
        <v>0</v>
      </c>
      <c r="B81" s="42" t="s">
        <v>1</v>
      </c>
      <c r="C81" s="45" t="s">
        <v>1184</v>
      </c>
      <c r="D81" s="45" t="s">
        <v>786</v>
      </c>
      <c r="E81" s="29" t="s">
        <v>907</v>
      </c>
      <c r="F81" s="47" t="s">
        <v>137</v>
      </c>
      <c r="G81" s="42"/>
      <c r="H81" s="42"/>
      <c r="I81" s="44">
        <v>37.6</v>
      </c>
      <c r="J81" s="44">
        <f t="shared" si="19"/>
        <v>37.6</v>
      </c>
      <c r="K81" s="42">
        <v>15000</v>
      </c>
      <c r="L81" s="12">
        <f t="shared" si="17"/>
        <v>564000</v>
      </c>
      <c r="M81" s="42"/>
      <c r="N81" s="42" t="s">
        <v>64</v>
      </c>
      <c r="O81" s="101" t="s">
        <v>446</v>
      </c>
      <c r="P81" s="45">
        <v>2</v>
      </c>
      <c r="Q81" s="100">
        <v>108</v>
      </c>
      <c r="R81" s="100"/>
      <c r="S81" s="42">
        <v>6550</v>
      </c>
      <c r="T81" s="12">
        <f t="shared" si="20"/>
        <v>707400</v>
      </c>
      <c r="U81" s="102" t="s">
        <v>84</v>
      </c>
      <c r="V81" s="12">
        <f>+T81*0.2</f>
        <v>141480</v>
      </c>
      <c r="W81" s="12">
        <f t="shared" si="21"/>
        <v>565920</v>
      </c>
      <c r="X81" s="116"/>
      <c r="Y81" s="117">
        <f t="shared" si="24"/>
        <v>1129920</v>
      </c>
      <c r="Z81" s="12"/>
      <c r="AA81" s="12">
        <f t="shared" si="22"/>
        <v>1129920</v>
      </c>
      <c r="AB81" s="12">
        <v>0.02</v>
      </c>
      <c r="AC81" s="12">
        <f t="shared" si="23"/>
        <v>225.984</v>
      </c>
      <c r="AD81" s="42"/>
      <c r="AE81" s="42"/>
    </row>
    <row r="82" spans="1:31" s="7" customFormat="1" ht="23.25">
      <c r="A82" s="42" t="s">
        <v>0</v>
      </c>
      <c r="B82" s="42" t="s">
        <v>1</v>
      </c>
      <c r="C82" s="45" t="s">
        <v>1185</v>
      </c>
      <c r="D82" s="48" t="s">
        <v>787</v>
      </c>
      <c r="E82" s="29" t="s">
        <v>907</v>
      </c>
      <c r="F82" s="47" t="s">
        <v>137</v>
      </c>
      <c r="G82" s="42"/>
      <c r="H82" s="42"/>
      <c r="I82" s="44">
        <v>17.3</v>
      </c>
      <c r="J82" s="44">
        <f t="shared" si="19"/>
        <v>17.3</v>
      </c>
      <c r="K82" s="42">
        <v>15000</v>
      </c>
      <c r="L82" s="12">
        <f t="shared" si="17"/>
        <v>259500</v>
      </c>
      <c r="M82" s="42"/>
      <c r="N82" s="42" t="s">
        <v>64</v>
      </c>
      <c r="O82" s="101" t="s">
        <v>446</v>
      </c>
      <c r="P82" s="45">
        <v>2</v>
      </c>
      <c r="Q82" s="100">
        <v>106.6</v>
      </c>
      <c r="R82" s="100"/>
      <c r="S82" s="42">
        <v>6550</v>
      </c>
      <c r="T82" s="12">
        <f t="shared" si="20"/>
        <v>698230</v>
      </c>
      <c r="U82" s="102" t="s">
        <v>84</v>
      </c>
      <c r="V82" s="12">
        <f>+T82*0.2</f>
        <v>139646</v>
      </c>
      <c r="W82" s="12">
        <f t="shared" si="21"/>
        <v>558584</v>
      </c>
      <c r="X82" s="116"/>
      <c r="Y82" s="117">
        <f t="shared" si="24"/>
        <v>818084</v>
      </c>
      <c r="Z82" s="12"/>
      <c r="AA82" s="12">
        <f t="shared" si="22"/>
        <v>818084</v>
      </c>
      <c r="AB82" s="12">
        <v>0.02</v>
      </c>
      <c r="AC82" s="12">
        <f t="shared" si="23"/>
        <v>163.6168</v>
      </c>
      <c r="AD82" s="42"/>
      <c r="AE82" s="42"/>
    </row>
    <row r="83" spans="1:31" s="7" customFormat="1" ht="23.25">
      <c r="A83" s="42"/>
      <c r="B83" s="42"/>
      <c r="C83" s="45"/>
      <c r="D83" s="45"/>
      <c r="E83" s="45"/>
      <c r="F83" s="47"/>
      <c r="G83" s="42"/>
      <c r="H83" s="42"/>
      <c r="I83" s="44"/>
      <c r="J83" s="44">
        <f t="shared" si="19"/>
        <v>0</v>
      </c>
      <c r="K83" s="42"/>
      <c r="L83" s="42">
        <f t="shared" si="17"/>
        <v>0</v>
      </c>
      <c r="M83" s="42"/>
      <c r="N83" s="42"/>
      <c r="O83" s="42"/>
      <c r="P83" s="45"/>
      <c r="Q83" s="42"/>
      <c r="R83" s="42"/>
      <c r="S83" s="42"/>
      <c r="T83" s="12">
        <f t="shared" si="20"/>
        <v>0</v>
      </c>
      <c r="U83" s="45"/>
      <c r="V83" s="12">
        <f>+T83*0</f>
        <v>0</v>
      </c>
      <c r="W83" s="12">
        <f t="shared" si="21"/>
        <v>0</v>
      </c>
      <c r="X83" s="116"/>
      <c r="Y83" s="117">
        <f t="shared" si="24"/>
        <v>0</v>
      </c>
      <c r="Z83" s="12"/>
      <c r="AA83" s="12">
        <f t="shared" si="22"/>
        <v>0</v>
      </c>
      <c r="AB83" s="12"/>
      <c r="AC83" s="12">
        <f t="shared" si="23"/>
        <v>0</v>
      </c>
      <c r="AD83" s="42"/>
      <c r="AE83" s="42"/>
    </row>
    <row r="84" spans="1:31" s="7" customFormat="1" ht="23.25">
      <c r="A84" s="42"/>
      <c r="B84" s="42"/>
      <c r="C84" s="45"/>
      <c r="D84" s="45"/>
      <c r="E84" s="45"/>
      <c r="F84" s="47"/>
      <c r="G84" s="42"/>
      <c r="H84" s="42"/>
      <c r="I84" s="44"/>
      <c r="J84" s="44">
        <f t="shared" si="19"/>
        <v>0</v>
      </c>
      <c r="K84" s="42"/>
      <c r="L84" s="42">
        <f t="shared" si="17"/>
        <v>0</v>
      </c>
      <c r="M84" s="42"/>
      <c r="N84" s="42"/>
      <c r="O84" s="42"/>
      <c r="P84" s="45"/>
      <c r="Q84" s="42"/>
      <c r="R84" s="42"/>
      <c r="S84" s="42"/>
      <c r="T84" s="12">
        <f t="shared" si="20"/>
        <v>0</v>
      </c>
      <c r="U84" s="45"/>
      <c r="V84" s="12">
        <f>+T84*0</f>
        <v>0</v>
      </c>
      <c r="W84" s="12">
        <f t="shared" si="21"/>
        <v>0</v>
      </c>
      <c r="X84" s="116"/>
      <c r="Y84" s="117">
        <f t="shared" si="24"/>
        <v>0</v>
      </c>
      <c r="Z84" s="12"/>
      <c r="AA84" s="12">
        <f t="shared" si="22"/>
        <v>0</v>
      </c>
      <c r="AB84" s="12"/>
      <c r="AC84" s="12">
        <f t="shared" si="23"/>
        <v>0</v>
      </c>
      <c r="AD84" s="42"/>
      <c r="AE84" s="42"/>
    </row>
    <row r="85" spans="1:31" s="7" customFormat="1" ht="23.25">
      <c r="A85" s="42" t="s">
        <v>0</v>
      </c>
      <c r="B85" s="42" t="s">
        <v>1</v>
      </c>
      <c r="C85" s="45" t="s">
        <v>788</v>
      </c>
      <c r="D85" s="45" t="s">
        <v>788</v>
      </c>
      <c r="E85" s="29" t="s">
        <v>907</v>
      </c>
      <c r="F85" s="47">
        <v>4</v>
      </c>
      <c r="G85" s="42"/>
      <c r="H85" s="42"/>
      <c r="I85" s="44">
        <v>57.8</v>
      </c>
      <c r="J85" s="44">
        <f t="shared" si="19"/>
        <v>57.8</v>
      </c>
      <c r="K85" s="42">
        <v>15000</v>
      </c>
      <c r="L85" s="12">
        <f t="shared" si="17"/>
        <v>867000</v>
      </c>
      <c r="M85" s="42"/>
      <c r="N85" s="42"/>
      <c r="O85" s="100"/>
      <c r="P85" s="45"/>
      <c r="Q85" s="100"/>
      <c r="R85" s="100"/>
      <c r="S85" s="42"/>
      <c r="T85" s="12">
        <f t="shared" si="20"/>
        <v>0</v>
      </c>
      <c r="U85" s="45"/>
      <c r="V85" s="12">
        <f>+T85*0</f>
        <v>0</v>
      </c>
      <c r="W85" s="12">
        <f t="shared" si="21"/>
        <v>0</v>
      </c>
      <c r="X85" s="116"/>
      <c r="Y85" s="117">
        <f t="shared" si="24"/>
        <v>867000</v>
      </c>
      <c r="Z85" s="12"/>
      <c r="AA85" s="12">
        <f t="shared" si="22"/>
        <v>867000</v>
      </c>
      <c r="AB85" s="12">
        <v>0.3</v>
      </c>
      <c r="AC85" s="12">
        <f t="shared" si="23"/>
        <v>2601</v>
      </c>
      <c r="AD85" s="42"/>
      <c r="AE85" s="12"/>
    </row>
    <row r="86" spans="1:31" s="7" customFormat="1" ht="23.25">
      <c r="A86" s="42"/>
      <c r="B86" s="42"/>
      <c r="C86" s="45"/>
      <c r="D86" s="45"/>
      <c r="E86" s="45"/>
      <c r="F86" s="47"/>
      <c r="G86" s="42"/>
      <c r="H86" s="42"/>
      <c r="I86" s="44"/>
      <c r="J86" s="44">
        <f t="shared" si="19"/>
        <v>0</v>
      </c>
      <c r="K86" s="42"/>
      <c r="L86" s="42">
        <f t="shared" si="17"/>
        <v>0</v>
      </c>
      <c r="M86" s="42"/>
      <c r="N86" s="5"/>
      <c r="O86" s="6"/>
      <c r="P86" s="13"/>
      <c r="Q86" s="6"/>
      <c r="R86" s="6"/>
      <c r="S86" s="5"/>
      <c r="T86" s="12">
        <f t="shared" si="20"/>
        <v>0</v>
      </c>
      <c r="U86" s="45"/>
      <c r="V86" s="12">
        <f>+T86*0</f>
        <v>0</v>
      </c>
      <c r="W86" s="12">
        <f t="shared" si="21"/>
        <v>0</v>
      </c>
      <c r="X86" s="116"/>
      <c r="Y86" s="117">
        <f t="shared" si="24"/>
        <v>0</v>
      </c>
      <c r="Z86" s="12"/>
      <c r="AA86" s="12">
        <f t="shared" si="22"/>
        <v>0</v>
      </c>
      <c r="AB86" s="12"/>
      <c r="AC86" s="12">
        <f t="shared" si="23"/>
        <v>0</v>
      </c>
      <c r="AD86" s="42"/>
      <c r="AE86" s="42"/>
    </row>
    <row r="87" spans="1:31" s="7" customFormat="1" ht="23.25">
      <c r="A87" s="42"/>
      <c r="B87" s="42"/>
      <c r="C87" s="45"/>
      <c r="D87" s="45"/>
      <c r="E87" s="45"/>
      <c r="F87" s="47"/>
      <c r="G87" s="42"/>
      <c r="H87" s="42"/>
      <c r="I87" s="44"/>
      <c r="J87" s="44">
        <f t="shared" si="19"/>
        <v>0</v>
      </c>
      <c r="K87" s="42"/>
      <c r="L87" s="42">
        <f t="shared" si="17"/>
        <v>0</v>
      </c>
      <c r="M87" s="42"/>
      <c r="N87" s="42"/>
      <c r="O87" s="42"/>
      <c r="P87" s="45"/>
      <c r="Q87" s="42"/>
      <c r="R87" s="42"/>
      <c r="S87" s="42"/>
      <c r="T87" s="12">
        <f t="shared" si="20"/>
        <v>0</v>
      </c>
      <c r="U87" s="45"/>
      <c r="V87" s="12">
        <f>+T87*0</f>
        <v>0</v>
      </c>
      <c r="W87" s="12">
        <f t="shared" si="21"/>
        <v>0</v>
      </c>
      <c r="X87" s="116"/>
      <c r="Y87" s="117">
        <f t="shared" si="24"/>
        <v>0</v>
      </c>
      <c r="Z87" s="12"/>
      <c r="AA87" s="12">
        <f t="shared" si="22"/>
        <v>0</v>
      </c>
      <c r="AB87" s="12"/>
      <c r="AC87" s="12">
        <f t="shared" si="23"/>
        <v>0</v>
      </c>
      <c r="AD87" s="42"/>
      <c r="AE87" s="42"/>
    </row>
    <row r="88" spans="1:31" s="7" customFormat="1" ht="23.25">
      <c r="A88" s="42" t="s">
        <v>0</v>
      </c>
      <c r="B88" s="42" t="s">
        <v>1</v>
      </c>
      <c r="C88" s="45" t="s">
        <v>1029</v>
      </c>
      <c r="D88" s="45" t="s">
        <v>789</v>
      </c>
      <c r="E88" s="29" t="s">
        <v>907</v>
      </c>
      <c r="F88" s="47">
        <v>2</v>
      </c>
      <c r="G88" s="42"/>
      <c r="H88" s="42">
        <v>2</v>
      </c>
      <c r="I88" s="44">
        <v>12</v>
      </c>
      <c r="J88" s="44">
        <f t="shared" si="19"/>
        <v>212</v>
      </c>
      <c r="K88" s="42">
        <v>90000</v>
      </c>
      <c r="L88" s="12">
        <f t="shared" si="17"/>
        <v>19080000</v>
      </c>
      <c r="M88" s="42"/>
      <c r="N88" s="42" t="s">
        <v>64</v>
      </c>
      <c r="O88" s="101" t="s">
        <v>454</v>
      </c>
      <c r="P88" s="45">
        <v>2</v>
      </c>
      <c r="Q88" s="100">
        <v>496</v>
      </c>
      <c r="R88" s="100"/>
      <c r="S88" s="42">
        <v>6550</v>
      </c>
      <c r="T88" s="12">
        <f t="shared" si="20"/>
        <v>3248800</v>
      </c>
      <c r="U88" s="102" t="s">
        <v>1783</v>
      </c>
      <c r="V88" s="12">
        <f>+T88*0.65</f>
        <v>2111720</v>
      </c>
      <c r="W88" s="12">
        <f t="shared" si="21"/>
        <v>1137080</v>
      </c>
      <c r="X88" s="116"/>
      <c r="Y88" s="117">
        <f t="shared" si="24"/>
        <v>20217080</v>
      </c>
      <c r="Z88" s="12">
        <f>+Y88</f>
        <v>20217080</v>
      </c>
      <c r="AA88" s="12">
        <f t="shared" si="22"/>
        <v>0</v>
      </c>
      <c r="AB88" s="12"/>
      <c r="AC88" s="12">
        <f t="shared" si="23"/>
        <v>0</v>
      </c>
      <c r="AD88" s="31" t="s">
        <v>906</v>
      </c>
      <c r="AE88" s="42"/>
    </row>
    <row r="89" spans="1:31" s="7" customFormat="1" ht="23.25">
      <c r="A89" s="42"/>
      <c r="B89" s="42"/>
      <c r="C89" s="45"/>
      <c r="D89" s="45"/>
      <c r="E89" s="45"/>
      <c r="F89" s="47"/>
      <c r="G89" s="42"/>
      <c r="H89" s="42"/>
      <c r="I89" s="44"/>
      <c r="J89" s="44">
        <f t="shared" si="19"/>
        <v>0</v>
      </c>
      <c r="K89" s="42"/>
      <c r="L89" s="42">
        <f t="shared" si="17"/>
        <v>0</v>
      </c>
      <c r="M89" s="42"/>
      <c r="N89" s="5"/>
      <c r="O89" s="6"/>
      <c r="P89" s="13"/>
      <c r="Q89" s="6"/>
      <c r="R89" s="6"/>
      <c r="S89" s="5"/>
      <c r="T89" s="12">
        <f t="shared" si="20"/>
        <v>0</v>
      </c>
      <c r="U89" s="45"/>
      <c r="V89" s="12">
        <f>+T89*0</f>
        <v>0</v>
      </c>
      <c r="W89" s="12">
        <f t="shared" si="21"/>
        <v>0</v>
      </c>
      <c r="X89" s="116"/>
      <c r="Y89" s="117">
        <f t="shared" si="24"/>
        <v>0</v>
      </c>
      <c r="Z89" s="12"/>
      <c r="AA89" s="12">
        <f t="shared" si="22"/>
        <v>0</v>
      </c>
      <c r="AB89" s="12"/>
      <c r="AC89" s="12">
        <f t="shared" si="23"/>
        <v>0</v>
      </c>
      <c r="AD89" s="42"/>
      <c r="AE89" s="42"/>
    </row>
    <row r="90" spans="1:31" s="7" customFormat="1" ht="23.25">
      <c r="A90" s="42"/>
      <c r="B90" s="42"/>
      <c r="C90" s="45"/>
      <c r="D90" s="45"/>
      <c r="E90" s="45"/>
      <c r="F90" s="47"/>
      <c r="G90" s="42"/>
      <c r="H90" s="42"/>
      <c r="I90" s="44"/>
      <c r="J90" s="44">
        <f t="shared" si="19"/>
        <v>0</v>
      </c>
      <c r="K90" s="42"/>
      <c r="L90" s="42">
        <f t="shared" si="17"/>
        <v>0</v>
      </c>
      <c r="M90" s="42"/>
      <c r="N90" s="42"/>
      <c r="O90" s="42"/>
      <c r="P90" s="45"/>
      <c r="Q90" s="42"/>
      <c r="R90" s="42"/>
      <c r="S90" s="42"/>
      <c r="T90" s="12">
        <f t="shared" si="20"/>
        <v>0</v>
      </c>
      <c r="U90" s="45"/>
      <c r="V90" s="12">
        <f>+T90*0</f>
        <v>0</v>
      </c>
      <c r="W90" s="12">
        <f t="shared" si="21"/>
        <v>0</v>
      </c>
      <c r="X90" s="116"/>
      <c r="Y90" s="117">
        <f t="shared" si="24"/>
        <v>0</v>
      </c>
      <c r="Z90" s="12"/>
      <c r="AA90" s="12">
        <f t="shared" si="22"/>
        <v>0</v>
      </c>
      <c r="AB90" s="12"/>
      <c r="AC90" s="12">
        <f t="shared" si="23"/>
        <v>0</v>
      </c>
      <c r="AD90" s="42"/>
      <c r="AE90" s="42"/>
    </row>
    <row r="91" spans="1:31" s="7" customFormat="1" ht="23.25">
      <c r="A91" s="42" t="s">
        <v>0</v>
      </c>
      <c r="B91" s="42" t="s">
        <v>1</v>
      </c>
      <c r="C91" s="45" t="s">
        <v>1186</v>
      </c>
      <c r="D91" s="45" t="s">
        <v>790</v>
      </c>
      <c r="E91" s="10" t="s">
        <v>909</v>
      </c>
      <c r="F91" s="47">
        <v>1</v>
      </c>
      <c r="G91" s="42">
        <v>8</v>
      </c>
      <c r="H91" s="42"/>
      <c r="I91" s="44">
        <v>40</v>
      </c>
      <c r="J91" s="44">
        <f>+I91+(H91*100)+(G91*400)</f>
        <v>3240</v>
      </c>
      <c r="K91" s="42">
        <v>1500</v>
      </c>
      <c r="L91" s="12">
        <f t="shared" si="17"/>
        <v>4860000</v>
      </c>
      <c r="M91" s="42"/>
      <c r="N91" s="42"/>
      <c r="O91" s="100"/>
      <c r="P91" s="45"/>
      <c r="Q91" s="100"/>
      <c r="R91" s="100"/>
      <c r="S91" s="42"/>
      <c r="T91" s="12">
        <f>+Q91*S91</f>
        <v>0</v>
      </c>
      <c r="U91" s="45"/>
      <c r="V91" s="12">
        <f>+T91*0</f>
        <v>0</v>
      </c>
      <c r="W91" s="12">
        <f>+T91-V91</f>
        <v>0</v>
      </c>
      <c r="X91" s="116"/>
      <c r="Y91" s="117">
        <f t="shared" si="24"/>
        <v>4860000</v>
      </c>
      <c r="Z91" s="12">
        <f>+Y91</f>
        <v>4860000</v>
      </c>
      <c r="AA91" s="12">
        <f t="shared" si="22"/>
        <v>0</v>
      </c>
      <c r="AB91" s="12"/>
      <c r="AC91" s="12">
        <f t="shared" si="23"/>
        <v>0</v>
      </c>
      <c r="AD91" s="42"/>
      <c r="AE91" s="42"/>
    </row>
    <row r="92" spans="1:31" s="7" customFormat="1" ht="23.25">
      <c r="A92" s="42" t="s">
        <v>0</v>
      </c>
      <c r="B92" s="42" t="s">
        <v>1</v>
      </c>
      <c r="C92" s="45" t="s">
        <v>1187</v>
      </c>
      <c r="D92" s="51" t="s">
        <v>791</v>
      </c>
      <c r="E92" s="10" t="s">
        <v>909</v>
      </c>
      <c r="F92" s="47">
        <v>1</v>
      </c>
      <c r="G92" s="42">
        <v>2</v>
      </c>
      <c r="H92" s="42">
        <v>2</v>
      </c>
      <c r="I92" s="44">
        <v>66.7</v>
      </c>
      <c r="J92" s="44">
        <f>+I92+(H92*100)+(G92*400)</f>
        <v>1066.7</v>
      </c>
      <c r="K92" s="42">
        <v>10000</v>
      </c>
      <c r="L92" s="12">
        <f t="shared" si="17"/>
        <v>10667000</v>
      </c>
      <c r="M92" s="42"/>
      <c r="N92" s="42"/>
      <c r="O92" s="100"/>
      <c r="P92" s="45"/>
      <c r="Q92" s="100"/>
      <c r="R92" s="100"/>
      <c r="S92" s="42"/>
      <c r="T92" s="12">
        <f>+Q92*S92</f>
        <v>0</v>
      </c>
      <c r="U92" s="45"/>
      <c r="V92" s="12">
        <f>+T92*0</f>
        <v>0</v>
      </c>
      <c r="W92" s="12">
        <f>+T92-V92</f>
        <v>0</v>
      </c>
      <c r="X92" s="116"/>
      <c r="Y92" s="117">
        <f t="shared" si="24"/>
        <v>10667000</v>
      </c>
      <c r="Z92" s="12">
        <f>+Y92</f>
        <v>10667000</v>
      </c>
      <c r="AA92" s="12">
        <f t="shared" si="22"/>
        <v>0</v>
      </c>
      <c r="AB92" s="12"/>
      <c r="AC92" s="12">
        <f t="shared" si="23"/>
        <v>0</v>
      </c>
      <c r="AD92" s="42"/>
      <c r="AE92" s="42"/>
    </row>
    <row r="93" spans="1:31" s="7" customFormat="1" ht="23.25">
      <c r="A93" s="42" t="s">
        <v>0</v>
      </c>
      <c r="B93" s="42" t="s">
        <v>1</v>
      </c>
      <c r="C93" s="45" t="s">
        <v>1188</v>
      </c>
      <c r="D93" s="51" t="s">
        <v>792</v>
      </c>
      <c r="E93" s="10" t="s">
        <v>909</v>
      </c>
      <c r="F93" s="47">
        <v>4</v>
      </c>
      <c r="G93" s="42">
        <v>1</v>
      </c>
      <c r="H93" s="42"/>
      <c r="I93" s="44"/>
      <c r="J93" s="44">
        <f>+I93+(H93*100)+(G93*400)</f>
        <v>400</v>
      </c>
      <c r="K93" s="42">
        <v>6000</v>
      </c>
      <c r="L93" s="12">
        <f t="shared" si="17"/>
        <v>2400000</v>
      </c>
      <c r="M93" s="42"/>
      <c r="N93" s="42"/>
      <c r="O93" s="42"/>
      <c r="P93" s="45"/>
      <c r="Q93" s="42"/>
      <c r="R93" s="42"/>
      <c r="S93" s="42"/>
      <c r="T93" s="12">
        <f>+Q93*S93</f>
        <v>0</v>
      </c>
      <c r="U93" s="45"/>
      <c r="V93" s="12">
        <f>+T93*0</f>
        <v>0</v>
      </c>
      <c r="W93" s="12">
        <f>+T93-V93</f>
        <v>0</v>
      </c>
      <c r="X93" s="116"/>
      <c r="Y93" s="117">
        <f t="shared" si="24"/>
        <v>2400000</v>
      </c>
      <c r="Z93" s="12"/>
      <c r="AA93" s="12">
        <f t="shared" si="22"/>
        <v>2400000</v>
      </c>
      <c r="AB93" s="12">
        <v>0.3</v>
      </c>
      <c r="AC93" s="12">
        <f t="shared" si="23"/>
        <v>7200</v>
      </c>
      <c r="AD93" s="42"/>
      <c r="AE93" s="42"/>
    </row>
    <row r="94" spans="1:31" s="7" customFormat="1" ht="23.25">
      <c r="A94" s="42" t="s">
        <v>0</v>
      </c>
      <c r="B94" s="42" t="s">
        <v>1</v>
      </c>
      <c r="C94" s="45" t="s">
        <v>1189</v>
      </c>
      <c r="D94" s="51" t="s">
        <v>793</v>
      </c>
      <c r="E94" s="10" t="s">
        <v>909</v>
      </c>
      <c r="F94" s="47">
        <v>2</v>
      </c>
      <c r="G94" s="42">
        <v>2</v>
      </c>
      <c r="H94" s="42">
        <v>3</v>
      </c>
      <c r="I94" s="44">
        <v>80.5</v>
      </c>
      <c r="J94" s="44">
        <f>+I94+(H94*100)+(G94*400)</f>
        <v>1180.5</v>
      </c>
      <c r="K94" s="42">
        <v>6000</v>
      </c>
      <c r="L94" s="12">
        <f t="shared" si="17"/>
        <v>7083000</v>
      </c>
      <c r="M94" s="42"/>
      <c r="N94" s="42" t="s">
        <v>60</v>
      </c>
      <c r="O94" s="101" t="s">
        <v>447</v>
      </c>
      <c r="P94" s="45">
        <v>2</v>
      </c>
      <c r="Q94" s="100">
        <v>126</v>
      </c>
      <c r="R94" s="100"/>
      <c r="S94" s="42">
        <v>7550</v>
      </c>
      <c r="T94" s="12">
        <f>+Q94*S94</f>
        <v>951300</v>
      </c>
      <c r="U94" s="102" t="s">
        <v>460</v>
      </c>
      <c r="V94" s="12">
        <f>+T94*0.5</f>
        <v>475650</v>
      </c>
      <c r="W94" s="12">
        <f>+T94-V94</f>
        <v>475650</v>
      </c>
      <c r="X94" s="116"/>
      <c r="Y94" s="117">
        <f t="shared" si="24"/>
        <v>7558650</v>
      </c>
      <c r="Z94" s="12"/>
      <c r="AA94" s="12">
        <f t="shared" si="22"/>
        <v>7558650</v>
      </c>
      <c r="AB94" s="12">
        <v>0.02</v>
      </c>
      <c r="AC94" s="12">
        <f t="shared" si="23"/>
        <v>1511.73</v>
      </c>
      <c r="AD94" s="42"/>
      <c r="AE94" s="42"/>
    </row>
    <row r="95" spans="1:31" s="7" customFormat="1" ht="23.25">
      <c r="A95" s="42" t="s">
        <v>0</v>
      </c>
      <c r="B95" s="42" t="s">
        <v>1</v>
      </c>
      <c r="C95" s="45" t="s">
        <v>1190</v>
      </c>
      <c r="D95" s="51" t="s">
        <v>794</v>
      </c>
      <c r="E95" s="10" t="s">
        <v>909</v>
      </c>
      <c r="F95" s="47" t="s">
        <v>140</v>
      </c>
      <c r="G95" s="42"/>
      <c r="H95" s="42">
        <v>1</v>
      </c>
      <c r="I95" s="44">
        <v>95.8</v>
      </c>
      <c r="J95" s="44">
        <f>+I95+(H95*100)+(G95*400)</f>
        <v>195.8</v>
      </c>
      <c r="K95" s="42">
        <v>25000</v>
      </c>
      <c r="L95" s="12">
        <f t="shared" si="17"/>
        <v>4895000</v>
      </c>
      <c r="M95" s="42"/>
      <c r="N95" s="42"/>
      <c r="O95" s="42"/>
      <c r="P95" s="45"/>
      <c r="Q95" s="42"/>
      <c r="R95" s="42"/>
      <c r="S95" s="42"/>
      <c r="T95" s="12">
        <f>+Q95*S95</f>
        <v>0</v>
      </c>
      <c r="U95" s="45"/>
      <c r="V95" s="12">
        <f>+T95*0</f>
        <v>0</v>
      </c>
      <c r="W95" s="12">
        <f>+T95-V95</f>
        <v>0</v>
      </c>
      <c r="X95" s="116"/>
      <c r="Y95" s="117">
        <f t="shared" si="24"/>
        <v>4895000</v>
      </c>
      <c r="Z95" s="12"/>
      <c r="AA95" s="12">
        <f t="shared" si="22"/>
        <v>4895000</v>
      </c>
      <c r="AB95" s="12">
        <v>0.3</v>
      </c>
      <c r="AC95" s="12">
        <f t="shared" si="23"/>
        <v>14685</v>
      </c>
      <c r="AD95" s="42"/>
      <c r="AE95" s="42"/>
    </row>
    <row r="96" spans="1:31" s="7" customFormat="1" ht="23.25">
      <c r="A96" s="42" t="s">
        <v>0</v>
      </c>
      <c r="B96" s="42" t="s">
        <v>1</v>
      </c>
      <c r="C96" s="45" t="s">
        <v>1191</v>
      </c>
      <c r="D96" s="45" t="s">
        <v>795</v>
      </c>
      <c r="E96" s="10" t="s">
        <v>909</v>
      </c>
      <c r="F96" s="47">
        <v>4</v>
      </c>
      <c r="G96" s="42"/>
      <c r="H96" s="42"/>
      <c r="I96" s="44">
        <v>59.6</v>
      </c>
      <c r="J96" s="44">
        <f>+I96+(H96*100)+(G96*400)</f>
        <v>59.6</v>
      </c>
      <c r="K96" s="42">
        <v>10000</v>
      </c>
      <c r="L96" s="12">
        <f t="shared" si="17"/>
        <v>596000</v>
      </c>
      <c r="M96" s="42"/>
      <c r="N96" s="42"/>
      <c r="O96" s="100"/>
      <c r="P96" s="45"/>
      <c r="Q96" s="100"/>
      <c r="R96" s="100"/>
      <c r="S96" s="42"/>
      <c r="T96" s="12">
        <f>+Q96*S96</f>
        <v>0</v>
      </c>
      <c r="U96" s="45"/>
      <c r="V96" s="12">
        <f>+T96*0</f>
        <v>0</v>
      </c>
      <c r="W96" s="12">
        <f>+T96-V96</f>
        <v>0</v>
      </c>
      <c r="X96" s="116"/>
      <c r="Y96" s="117">
        <f t="shared" si="24"/>
        <v>596000</v>
      </c>
      <c r="Z96" s="12"/>
      <c r="AA96" s="12">
        <f t="shared" si="22"/>
        <v>596000</v>
      </c>
      <c r="AB96" s="12">
        <v>0.3</v>
      </c>
      <c r="AC96" s="12">
        <f t="shared" si="23"/>
        <v>1788</v>
      </c>
      <c r="AD96" s="42"/>
      <c r="AE96" s="12"/>
    </row>
    <row r="97" spans="1:31" s="7" customFormat="1" ht="23.25">
      <c r="A97" s="42" t="s">
        <v>0</v>
      </c>
      <c r="B97" s="42" t="s">
        <v>1</v>
      </c>
      <c r="C97" s="45" t="s">
        <v>1192</v>
      </c>
      <c r="D97" s="45" t="s">
        <v>796</v>
      </c>
      <c r="E97" s="10" t="s">
        <v>909</v>
      </c>
      <c r="F97" s="47">
        <v>4</v>
      </c>
      <c r="G97" s="42"/>
      <c r="H97" s="42"/>
      <c r="I97" s="44">
        <v>55.6</v>
      </c>
      <c r="J97" s="44">
        <f>+I97+(H97*100)+(G97*400)</f>
        <v>55.6</v>
      </c>
      <c r="K97" s="42">
        <v>10000</v>
      </c>
      <c r="L97" s="12">
        <f t="shared" si="17"/>
        <v>556000</v>
      </c>
      <c r="M97" s="42"/>
      <c r="N97" s="42"/>
      <c r="O97" s="100"/>
      <c r="P97" s="45"/>
      <c r="Q97" s="100"/>
      <c r="R97" s="100"/>
      <c r="S97" s="42"/>
      <c r="T97" s="12">
        <f>+Q97*S97</f>
        <v>0</v>
      </c>
      <c r="U97" s="45"/>
      <c r="V97" s="12">
        <f>+T97*0</f>
        <v>0</v>
      </c>
      <c r="W97" s="12">
        <f>+T97-V97</f>
        <v>0</v>
      </c>
      <c r="X97" s="116"/>
      <c r="Y97" s="117">
        <f t="shared" si="24"/>
        <v>556000</v>
      </c>
      <c r="Z97" s="12"/>
      <c r="AA97" s="12">
        <f t="shared" si="22"/>
        <v>556000</v>
      </c>
      <c r="AB97" s="12">
        <v>0.3</v>
      </c>
      <c r="AC97" s="12">
        <f t="shared" si="23"/>
        <v>1668</v>
      </c>
      <c r="AD97" s="42"/>
      <c r="AE97" s="12"/>
    </row>
    <row r="98" spans="1:31" s="7" customFormat="1" ht="23.25">
      <c r="A98" s="42" t="s">
        <v>0</v>
      </c>
      <c r="B98" s="42" t="s">
        <v>1</v>
      </c>
      <c r="C98" s="45" t="s">
        <v>1193</v>
      </c>
      <c r="D98" s="45" t="s">
        <v>797</v>
      </c>
      <c r="E98" s="29" t="s">
        <v>907</v>
      </c>
      <c r="F98" s="47">
        <v>4</v>
      </c>
      <c r="G98" s="42"/>
      <c r="H98" s="42"/>
      <c r="I98" s="44">
        <v>85.3</v>
      </c>
      <c r="J98" s="44">
        <f>+I98+(H98*100)+(G98*400)</f>
        <v>85.3</v>
      </c>
      <c r="K98" s="42">
        <v>12000</v>
      </c>
      <c r="L98" s="12">
        <f t="shared" si="17"/>
        <v>1023600</v>
      </c>
      <c r="M98" s="42"/>
      <c r="N98" s="42"/>
      <c r="O98" s="42"/>
      <c r="P98" s="45"/>
      <c r="Q98" s="42"/>
      <c r="R98" s="42"/>
      <c r="S98" s="42"/>
      <c r="T98" s="12">
        <f>+Q98*S98</f>
        <v>0</v>
      </c>
      <c r="U98" s="45"/>
      <c r="V98" s="12">
        <f>+T98*0</f>
        <v>0</v>
      </c>
      <c r="W98" s="12">
        <f>+T98-V98</f>
        <v>0</v>
      </c>
      <c r="X98" s="116"/>
      <c r="Y98" s="117">
        <f t="shared" si="24"/>
        <v>1023600</v>
      </c>
      <c r="Z98" s="12"/>
      <c r="AA98" s="12">
        <f t="shared" si="22"/>
        <v>1023600</v>
      </c>
      <c r="AB98" s="12">
        <v>0.3</v>
      </c>
      <c r="AC98" s="12">
        <f t="shared" si="23"/>
        <v>3070.8</v>
      </c>
      <c r="AD98" s="42"/>
      <c r="AE98" s="12"/>
    </row>
    <row r="99" spans="1:31" s="7" customFormat="1" ht="23.25">
      <c r="A99" s="42"/>
      <c r="B99" s="42"/>
      <c r="C99" s="45"/>
      <c r="D99" s="45"/>
      <c r="E99" s="45"/>
      <c r="F99" s="47"/>
      <c r="G99" s="42"/>
      <c r="H99" s="42"/>
      <c r="I99" s="44"/>
      <c r="J99" s="44">
        <f>+I99+(H99*100)+(G99*400)</f>
        <v>0</v>
      </c>
      <c r="K99" s="42"/>
      <c r="L99" s="42">
        <f t="shared" si="17"/>
        <v>0</v>
      </c>
      <c r="M99" s="42"/>
      <c r="N99" s="42"/>
      <c r="O99" s="42"/>
      <c r="P99" s="45"/>
      <c r="Q99" s="42"/>
      <c r="R99" s="42"/>
      <c r="S99" s="42"/>
      <c r="T99" s="12">
        <f>+Q99*S99</f>
        <v>0</v>
      </c>
      <c r="U99" s="45"/>
      <c r="V99" s="12">
        <f>+T99*0</f>
        <v>0</v>
      </c>
      <c r="W99" s="12">
        <f>+T99-V99</f>
        <v>0</v>
      </c>
      <c r="X99" s="116"/>
      <c r="Y99" s="117">
        <f t="shared" si="24"/>
        <v>0</v>
      </c>
      <c r="Z99" s="12"/>
      <c r="AA99" s="12">
        <f t="shared" si="22"/>
        <v>0</v>
      </c>
      <c r="AB99" s="12"/>
      <c r="AC99" s="12">
        <f t="shared" si="23"/>
        <v>0</v>
      </c>
      <c r="AD99" s="42"/>
      <c r="AE99" s="42"/>
    </row>
    <row r="100" spans="1:31" s="7" customFormat="1" ht="23.25">
      <c r="A100" s="42" t="s">
        <v>0</v>
      </c>
      <c r="B100" s="42" t="s">
        <v>1</v>
      </c>
      <c r="C100" s="45" t="s">
        <v>1194</v>
      </c>
      <c r="D100" s="45" t="s">
        <v>798</v>
      </c>
      <c r="E100" s="29" t="s">
        <v>907</v>
      </c>
      <c r="F100" s="47" t="s">
        <v>137</v>
      </c>
      <c r="G100" s="42"/>
      <c r="H100" s="42"/>
      <c r="I100" s="44">
        <v>16.3</v>
      </c>
      <c r="J100" s="44">
        <f>+I100+(H100*100)+(G100*400)</f>
        <v>16.3</v>
      </c>
      <c r="K100" s="42">
        <v>20000</v>
      </c>
      <c r="L100" s="12">
        <f t="shared" si="17"/>
        <v>326000</v>
      </c>
      <c r="M100" s="42"/>
      <c r="N100" s="42" t="s">
        <v>62</v>
      </c>
      <c r="O100" s="101" t="s">
        <v>446</v>
      </c>
      <c r="P100" s="45">
        <v>2</v>
      </c>
      <c r="Q100" s="100">
        <v>128</v>
      </c>
      <c r="R100" s="100"/>
      <c r="S100" s="42">
        <v>6750</v>
      </c>
      <c r="T100" s="12">
        <f>+Q100*S100</f>
        <v>864000</v>
      </c>
      <c r="U100" s="102" t="s">
        <v>84</v>
      </c>
      <c r="V100" s="12">
        <f>+T100*0.2</f>
        <v>172800</v>
      </c>
      <c r="W100" s="12">
        <f>+T100-V100</f>
        <v>691200</v>
      </c>
      <c r="X100" s="116"/>
      <c r="Y100" s="117">
        <f aca="true" t="shared" si="25" ref="Y100:Y106">+L100+W100</f>
        <v>1017200</v>
      </c>
      <c r="Z100" s="12"/>
      <c r="AA100" s="12">
        <f t="shared" si="22"/>
        <v>1017200</v>
      </c>
      <c r="AB100" s="12">
        <v>0.02</v>
      </c>
      <c r="AC100" s="12">
        <f t="shared" si="23"/>
        <v>203.44</v>
      </c>
      <c r="AD100" s="42"/>
      <c r="AE100" s="42"/>
    </row>
    <row r="101" spans="1:31" s="7" customFormat="1" ht="23.25">
      <c r="A101" s="42" t="s">
        <v>0</v>
      </c>
      <c r="B101" s="42" t="s">
        <v>1</v>
      </c>
      <c r="C101" s="45" t="s">
        <v>1195</v>
      </c>
      <c r="D101" s="45" t="s">
        <v>799</v>
      </c>
      <c r="E101" s="10" t="s">
        <v>909</v>
      </c>
      <c r="F101" s="47" t="s">
        <v>137</v>
      </c>
      <c r="G101" s="42"/>
      <c r="H101" s="42"/>
      <c r="I101" s="44">
        <v>19.8</v>
      </c>
      <c r="J101" s="44">
        <f>+I101+(H101*100)+(G101*400)</f>
        <v>19.8</v>
      </c>
      <c r="K101" s="42">
        <v>14500</v>
      </c>
      <c r="L101" s="12">
        <f aca="true" t="shared" si="26" ref="L101:L143">+K101*J101</f>
        <v>287100</v>
      </c>
      <c r="M101" s="42"/>
      <c r="N101" s="42" t="s">
        <v>62</v>
      </c>
      <c r="O101" s="101" t="s">
        <v>446</v>
      </c>
      <c r="P101" s="45">
        <v>2</v>
      </c>
      <c r="Q101" s="100">
        <v>58</v>
      </c>
      <c r="R101" s="100"/>
      <c r="S101" s="42">
        <v>6750</v>
      </c>
      <c r="T101" s="12">
        <f>+Q101*S101</f>
        <v>391500</v>
      </c>
      <c r="U101" s="102" t="s">
        <v>76</v>
      </c>
      <c r="V101" s="12">
        <f>+T101*0.14</f>
        <v>54810.00000000001</v>
      </c>
      <c r="W101" s="12">
        <f>+T101-V101</f>
        <v>336690</v>
      </c>
      <c r="X101" s="116"/>
      <c r="Y101" s="117">
        <f t="shared" si="25"/>
        <v>623790</v>
      </c>
      <c r="Z101" s="12"/>
      <c r="AA101" s="12">
        <f t="shared" si="22"/>
        <v>623790</v>
      </c>
      <c r="AB101" s="12">
        <v>0.02</v>
      </c>
      <c r="AC101" s="12">
        <f t="shared" si="23"/>
        <v>124.75800000000001</v>
      </c>
      <c r="AD101" s="42"/>
      <c r="AE101" s="42"/>
    </row>
    <row r="102" spans="1:31" s="7" customFormat="1" ht="23.25">
      <c r="A102" s="42"/>
      <c r="B102" s="42"/>
      <c r="C102" s="45"/>
      <c r="D102" s="45"/>
      <c r="E102" s="45"/>
      <c r="F102" s="47"/>
      <c r="G102" s="42"/>
      <c r="H102" s="42"/>
      <c r="I102" s="44"/>
      <c r="J102" s="44">
        <f>+I102+(H102*100)+(G102*400)</f>
        <v>0</v>
      </c>
      <c r="K102" s="42"/>
      <c r="L102" s="42">
        <f t="shared" si="26"/>
        <v>0</v>
      </c>
      <c r="M102" s="42"/>
      <c r="N102" s="42"/>
      <c r="O102" s="42"/>
      <c r="P102" s="45"/>
      <c r="Q102" s="42"/>
      <c r="R102" s="42"/>
      <c r="S102" s="42"/>
      <c r="T102" s="12">
        <f>+Q102*S102</f>
        <v>0</v>
      </c>
      <c r="U102" s="45"/>
      <c r="V102" s="12">
        <f>+T102*0</f>
        <v>0</v>
      </c>
      <c r="W102" s="12">
        <f>+T102-V102</f>
        <v>0</v>
      </c>
      <c r="X102" s="116"/>
      <c r="Y102" s="117">
        <f t="shared" si="25"/>
        <v>0</v>
      </c>
      <c r="Z102" s="12"/>
      <c r="AA102" s="12">
        <f t="shared" si="22"/>
        <v>0</v>
      </c>
      <c r="AB102" s="12"/>
      <c r="AC102" s="12">
        <f t="shared" si="23"/>
        <v>0</v>
      </c>
      <c r="AD102" s="42"/>
      <c r="AE102" s="42"/>
    </row>
    <row r="103" spans="1:31" s="7" customFormat="1" ht="23.25">
      <c r="A103" s="42"/>
      <c r="B103" s="42"/>
      <c r="C103" s="45"/>
      <c r="D103" s="45"/>
      <c r="E103" s="45"/>
      <c r="F103" s="47"/>
      <c r="G103" s="42"/>
      <c r="H103" s="42"/>
      <c r="I103" s="44"/>
      <c r="J103" s="44">
        <f>+I103+(H103*100)+(G103*400)</f>
        <v>0</v>
      </c>
      <c r="K103" s="42"/>
      <c r="L103" s="42">
        <f t="shared" si="26"/>
        <v>0</v>
      </c>
      <c r="M103" s="42"/>
      <c r="N103" s="42"/>
      <c r="O103" s="42"/>
      <c r="P103" s="45"/>
      <c r="Q103" s="42"/>
      <c r="R103" s="42"/>
      <c r="S103" s="42"/>
      <c r="T103" s="12">
        <f>+Q103*S103</f>
        <v>0</v>
      </c>
      <c r="U103" s="45"/>
      <c r="V103" s="12">
        <f>+T103*0</f>
        <v>0</v>
      </c>
      <c r="W103" s="12">
        <f>+T103-V103</f>
        <v>0</v>
      </c>
      <c r="X103" s="116"/>
      <c r="Y103" s="117">
        <f t="shared" si="25"/>
        <v>0</v>
      </c>
      <c r="Z103" s="12"/>
      <c r="AA103" s="12">
        <f t="shared" si="22"/>
        <v>0</v>
      </c>
      <c r="AB103" s="12"/>
      <c r="AC103" s="12">
        <f t="shared" si="23"/>
        <v>0</v>
      </c>
      <c r="AD103" s="42"/>
      <c r="AE103" s="42"/>
    </row>
    <row r="104" spans="1:31" s="7" customFormat="1" ht="23.25">
      <c r="A104" s="42" t="s">
        <v>0</v>
      </c>
      <c r="B104" s="42" t="s">
        <v>1</v>
      </c>
      <c r="C104" s="45" t="s">
        <v>1196</v>
      </c>
      <c r="D104" s="45" t="s">
        <v>800</v>
      </c>
      <c r="E104" s="29" t="s">
        <v>907</v>
      </c>
      <c r="F104" s="47" t="s">
        <v>140</v>
      </c>
      <c r="G104" s="42"/>
      <c r="H104" s="42">
        <v>1</v>
      </c>
      <c r="I104" s="44">
        <v>1.8</v>
      </c>
      <c r="J104" s="44">
        <f aca="true" t="shared" si="27" ref="J104:J111">+I104+(H104*100)+(G104*400)</f>
        <v>101.8</v>
      </c>
      <c r="K104" s="42">
        <v>15000</v>
      </c>
      <c r="L104" s="12">
        <f t="shared" si="26"/>
        <v>1527000</v>
      </c>
      <c r="M104" s="42"/>
      <c r="N104" s="42"/>
      <c r="O104" s="100"/>
      <c r="P104" s="45"/>
      <c r="Q104" s="100"/>
      <c r="R104" s="100"/>
      <c r="S104" s="42"/>
      <c r="T104" s="12">
        <f aca="true" t="shared" si="28" ref="T104:T111">+Q104*S104</f>
        <v>0</v>
      </c>
      <c r="U104" s="45"/>
      <c r="V104" s="12">
        <f>+T104*0</f>
        <v>0</v>
      </c>
      <c r="W104" s="12">
        <f aca="true" t="shared" si="29" ref="W104:W111">+T104-V104</f>
        <v>0</v>
      </c>
      <c r="X104" s="116"/>
      <c r="Y104" s="117">
        <f t="shared" si="25"/>
        <v>1527000</v>
      </c>
      <c r="Z104" s="12"/>
      <c r="AA104" s="12">
        <f t="shared" si="22"/>
        <v>1527000</v>
      </c>
      <c r="AB104" s="12">
        <v>0.3</v>
      </c>
      <c r="AC104" s="12">
        <f t="shared" si="23"/>
        <v>4581</v>
      </c>
      <c r="AD104" s="42"/>
      <c r="AE104" s="42"/>
    </row>
    <row r="105" spans="1:31" s="7" customFormat="1" ht="23.25">
      <c r="A105" s="42" t="s">
        <v>0</v>
      </c>
      <c r="B105" s="42" t="s">
        <v>1</v>
      </c>
      <c r="C105" s="45" t="s">
        <v>1197</v>
      </c>
      <c r="D105" s="51" t="s">
        <v>802</v>
      </c>
      <c r="E105" s="29" t="s">
        <v>907</v>
      </c>
      <c r="F105" s="47" t="s">
        <v>137</v>
      </c>
      <c r="G105" s="42"/>
      <c r="H105" s="42">
        <v>1</v>
      </c>
      <c r="I105" s="44">
        <v>2</v>
      </c>
      <c r="J105" s="44">
        <f t="shared" si="27"/>
        <v>102</v>
      </c>
      <c r="K105" s="42">
        <v>15000</v>
      </c>
      <c r="L105" s="12">
        <f t="shared" si="26"/>
        <v>1530000</v>
      </c>
      <c r="M105" s="42"/>
      <c r="N105" s="42" t="s">
        <v>60</v>
      </c>
      <c r="O105" s="101" t="s">
        <v>446</v>
      </c>
      <c r="P105" s="45">
        <v>2</v>
      </c>
      <c r="Q105" s="100">
        <v>40</v>
      </c>
      <c r="R105" s="100"/>
      <c r="S105" s="42">
        <v>7550</v>
      </c>
      <c r="T105" s="12">
        <f t="shared" si="28"/>
        <v>302000</v>
      </c>
      <c r="U105" s="102" t="s">
        <v>84</v>
      </c>
      <c r="V105" s="12">
        <f>+T105*0.2</f>
        <v>60400</v>
      </c>
      <c r="W105" s="12">
        <f t="shared" si="29"/>
        <v>241600</v>
      </c>
      <c r="X105" s="116"/>
      <c r="Y105" s="117">
        <f t="shared" si="25"/>
        <v>1771600</v>
      </c>
      <c r="Z105" s="12"/>
      <c r="AA105" s="12">
        <f t="shared" si="22"/>
        <v>1771600</v>
      </c>
      <c r="AB105" s="12">
        <v>0.02</v>
      </c>
      <c r="AC105" s="12">
        <f t="shared" si="23"/>
        <v>354.32</v>
      </c>
      <c r="AD105" s="42"/>
      <c r="AE105" s="42"/>
    </row>
    <row r="106" spans="1:31" s="7" customFormat="1" ht="23.25">
      <c r="A106" s="42" t="s">
        <v>0</v>
      </c>
      <c r="B106" s="42" t="s">
        <v>1</v>
      </c>
      <c r="C106" s="45" t="s">
        <v>1198</v>
      </c>
      <c r="D106" s="51" t="s">
        <v>803</v>
      </c>
      <c r="E106" s="29" t="s">
        <v>907</v>
      </c>
      <c r="F106" s="47" t="s">
        <v>137</v>
      </c>
      <c r="G106" s="42"/>
      <c r="H106" s="42">
        <v>1</v>
      </c>
      <c r="I106" s="44">
        <v>3</v>
      </c>
      <c r="J106" s="44">
        <f t="shared" si="27"/>
        <v>103</v>
      </c>
      <c r="K106" s="42">
        <v>4000</v>
      </c>
      <c r="L106" s="12">
        <f t="shared" si="26"/>
        <v>412000</v>
      </c>
      <c r="M106" s="42"/>
      <c r="N106" s="42" t="s">
        <v>327</v>
      </c>
      <c r="O106" s="101" t="s">
        <v>446</v>
      </c>
      <c r="P106" s="45">
        <v>2</v>
      </c>
      <c r="Q106" s="100">
        <f>40*4</f>
        <v>160</v>
      </c>
      <c r="R106" s="100"/>
      <c r="S106" s="42">
        <v>7550</v>
      </c>
      <c r="T106" s="12">
        <f t="shared" si="28"/>
        <v>1208000</v>
      </c>
      <c r="U106" s="102" t="s">
        <v>84</v>
      </c>
      <c r="V106" s="12">
        <f>+T106*0.2</f>
        <v>241600</v>
      </c>
      <c r="W106" s="12">
        <f t="shared" si="29"/>
        <v>966400</v>
      </c>
      <c r="X106" s="116"/>
      <c r="Y106" s="117">
        <f t="shared" si="25"/>
        <v>1378400</v>
      </c>
      <c r="Z106" s="12"/>
      <c r="AA106" s="12">
        <f t="shared" si="22"/>
        <v>1378400</v>
      </c>
      <c r="AB106" s="12">
        <v>0.02</v>
      </c>
      <c r="AC106" s="12">
        <f t="shared" si="23"/>
        <v>275.68</v>
      </c>
      <c r="AD106" s="42"/>
      <c r="AE106" s="42"/>
    </row>
    <row r="107" spans="1:31" s="7" customFormat="1" ht="23.25">
      <c r="A107" s="42" t="s">
        <v>0</v>
      </c>
      <c r="B107" s="42" t="s">
        <v>1</v>
      </c>
      <c r="C107" s="45" t="s">
        <v>1199</v>
      </c>
      <c r="D107" s="51" t="s">
        <v>801</v>
      </c>
      <c r="E107" s="29" t="s">
        <v>907</v>
      </c>
      <c r="F107" s="47" t="s">
        <v>167</v>
      </c>
      <c r="G107" s="42"/>
      <c r="H107" s="42">
        <v>1</v>
      </c>
      <c r="I107" s="44">
        <v>1.2</v>
      </c>
      <c r="J107" s="44">
        <f t="shared" si="27"/>
        <v>101.2</v>
      </c>
      <c r="K107" s="42">
        <v>4000</v>
      </c>
      <c r="L107" s="12">
        <f t="shared" si="26"/>
        <v>404800</v>
      </c>
      <c r="M107" s="42">
        <v>1</v>
      </c>
      <c r="N107" s="42" t="s">
        <v>64</v>
      </c>
      <c r="O107" s="101" t="s">
        <v>446</v>
      </c>
      <c r="P107" s="45">
        <v>2</v>
      </c>
      <c r="Q107" s="100">
        <v>68.2</v>
      </c>
      <c r="R107" s="103">
        <v>40.69</v>
      </c>
      <c r="S107" s="42">
        <v>6550</v>
      </c>
      <c r="T107" s="12">
        <f t="shared" si="28"/>
        <v>446710</v>
      </c>
      <c r="U107" s="45" t="s">
        <v>144</v>
      </c>
      <c r="V107" s="12">
        <f>+T107*0.07</f>
        <v>31269.700000000004</v>
      </c>
      <c r="W107" s="12">
        <f t="shared" si="29"/>
        <v>415440.3</v>
      </c>
      <c r="X107" s="116"/>
      <c r="Y107" s="117">
        <f>+L107*(R107/100)+W107</f>
        <v>580153.4199999999</v>
      </c>
      <c r="Z107" s="12">
        <f>+Y107</f>
        <v>580153.4199999999</v>
      </c>
      <c r="AA107" s="12">
        <f t="shared" si="22"/>
        <v>0</v>
      </c>
      <c r="AB107" s="12"/>
      <c r="AC107" s="12">
        <f t="shared" si="23"/>
        <v>0</v>
      </c>
      <c r="AD107" s="31" t="s">
        <v>906</v>
      </c>
      <c r="AE107" s="42"/>
    </row>
    <row r="108" spans="1:31" s="7" customFormat="1" ht="23.25">
      <c r="A108" s="42" t="s">
        <v>0</v>
      </c>
      <c r="B108" s="42"/>
      <c r="C108" s="45"/>
      <c r="D108" s="45"/>
      <c r="E108" s="45"/>
      <c r="F108" s="47"/>
      <c r="G108" s="42"/>
      <c r="H108" s="42"/>
      <c r="I108" s="44"/>
      <c r="J108" s="44">
        <f t="shared" si="27"/>
        <v>0</v>
      </c>
      <c r="K108" s="42"/>
      <c r="L108" s="12">
        <f t="shared" si="26"/>
        <v>0</v>
      </c>
      <c r="M108" s="42">
        <v>2</v>
      </c>
      <c r="N108" s="42" t="s">
        <v>60</v>
      </c>
      <c r="O108" s="101" t="s">
        <v>446</v>
      </c>
      <c r="P108" s="45">
        <v>3</v>
      </c>
      <c r="Q108" s="100">
        <v>25</v>
      </c>
      <c r="R108" s="103">
        <v>14.9</v>
      </c>
      <c r="S108" s="42">
        <v>7550</v>
      </c>
      <c r="T108" s="12">
        <f t="shared" si="28"/>
        <v>188750</v>
      </c>
      <c r="U108" s="102" t="s">
        <v>84</v>
      </c>
      <c r="V108" s="12">
        <f>+T108*0.2</f>
        <v>37750</v>
      </c>
      <c r="W108" s="12">
        <f t="shared" si="29"/>
        <v>151000</v>
      </c>
      <c r="X108" s="116"/>
      <c r="Y108" s="117">
        <f>+L107*(R108/100)+W108</f>
        <v>211315.2</v>
      </c>
      <c r="Z108" s="12"/>
      <c r="AA108" s="12">
        <f t="shared" si="22"/>
        <v>211315.2</v>
      </c>
      <c r="AB108" s="12">
        <v>0.3</v>
      </c>
      <c r="AC108" s="12">
        <f t="shared" si="23"/>
        <v>633.9456</v>
      </c>
      <c r="AD108" s="42"/>
      <c r="AE108" s="42"/>
    </row>
    <row r="109" spans="1:31" s="7" customFormat="1" ht="23.25">
      <c r="A109" s="42" t="s">
        <v>0</v>
      </c>
      <c r="B109" s="42"/>
      <c r="C109" s="45"/>
      <c r="D109" s="45"/>
      <c r="E109" s="45"/>
      <c r="F109" s="47"/>
      <c r="G109" s="42"/>
      <c r="H109" s="42"/>
      <c r="I109" s="44"/>
      <c r="J109" s="44">
        <f t="shared" si="27"/>
        <v>0</v>
      </c>
      <c r="K109" s="42"/>
      <c r="L109" s="12">
        <f t="shared" si="26"/>
        <v>0</v>
      </c>
      <c r="M109" s="42">
        <v>3</v>
      </c>
      <c r="N109" s="42" t="s">
        <v>60</v>
      </c>
      <c r="O109" s="101" t="s">
        <v>446</v>
      </c>
      <c r="P109" s="45">
        <v>2</v>
      </c>
      <c r="Q109" s="100">
        <v>25</v>
      </c>
      <c r="R109" s="103">
        <v>14.9</v>
      </c>
      <c r="S109" s="42">
        <v>7550</v>
      </c>
      <c r="T109" s="12">
        <f t="shared" si="28"/>
        <v>188750</v>
      </c>
      <c r="U109" s="102" t="s">
        <v>84</v>
      </c>
      <c r="V109" s="12">
        <f>+T109*0.2</f>
        <v>37750</v>
      </c>
      <c r="W109" s="12">
        <f t="shared" si="29"/>
        <v>151000</v>
      </c>
      <c r="X109" s="116"/>
      <c r="Y109" s="117">
        <f>+L107*(R109/100)+W109</f>
        <v>211315.2</v>
      </c>
      <c r="Z109" s="12"/>
      <c r="AA109" s="12">
        <f t="shared" si="22"/>
        <v>211315.2</v>
      </c>
      <c r="AB109" s="12">
        <v>0.02</v>
      </c>
      <c r="AC109" s="12">
        <f t="shared" si="23"/>
        <v>42.263040000000004</v>
      </c>
      <c r="AD109" s="42"/>
      <c r="AE109" s="42"/>
    </row>
    <row r="110" spans="1:31" s="7" customFormat="1" ht="23.25">
      <c r="A110" s="42" t="s">
        <v>0</v>
      </c>
      <c r="B110" s="42"/>
      <c r="C110" s="45"/>
      <c r="D110" s="45"/>
      <c r="E110" s="45"/>
      <c r="F110" s="47"/>
      <c r="G110" s="42"/>
      <c r="H110" s="42"/>
      <c r="I110" s="44"/>
      <c r="J110" s="44">
        <f t="shared" si="27"/>
        <v>0</v>
      </c>
      <c r="K110" s="42"/>
      <c r="L110" s="12">
        <f t="shared" si="26"/>
        <v>0</v>
      </c>
      <c r="M110" s="42">
        <v>4</v>
      </c>
      <c r="N110" s="42" t="s">
        <v>60</v>
      </c>
      <c r="O110" s="101" t="s">
        <v>446</v>
      </c>
      <c r="P110" s="45">
        <v>2</v>
      </c>
      <c r="Q110" s="100">
        <v>49.5</v>
      </c>
      <c r="R110" s="103">
        <v>29.51</v>
      </c>
      <c r="S110" s="42">
        <v>7550</v>
      </c>
      <c r="T110" s="12">
        <f t="shared" si="28"/>
        <v>373725</v>
      </c>
      <c r="U110" s="102" t="s">
        <v>84</v>
      </c>
      <c r="V110" s="12">
        <f>+T110*0.2</f>
        <v>74745</v>
      </c>
      <c r="W110" s="12">
        <f t="shared" si="29"/>
        <v>298980</v>
      </c>
      <c r="X110" s="116"/>
      <c r="Y110" s="117">
        <f>+L107*(R110/100)+W110</f>
        <v>418436.48</v>
      </c>
      <c r="Z110" s="12"/>
      <c r="AA110" s="12">
        <f t="shared" si="22"/>
        <v>418436.48</v>
      </c>
      <c r="AB110" s="12">
        <v>0.02</v>
      </c>
      <c r="AC110" s="12">
        <f t="shared" si="23"/>
        <v>83.687296</v>
      </c>
      <c r="AD110" s="42"/>
      <c r="AE110" s="42"/>
    </row>
    <row r="111" spans="1:31" s="7" customFormat="1" ht="23.25">
      <c r="A111" s="42"/>
      <c r="B111" s="42"/>
      <c r="C111" s="45"/>
      <c r="D111" s="45"/>
      <c r="E111" s="45"/>
      <c r="F111" s="47"/>
      <c r="G111" s="42"/>
      <c r="H111" s="42"/>
      <c r="I111" s="44"/>
      <c r="J111" s="44">
        <f t="shared" si="27"/>
        <v>0</v>
      </c>
      <c r="K111" s="42"/>
      <c r="L111" s="42">
        <f t="shared" si="26"/>
        <v>0</v>
      </c>
      <c r="M111" s="42"/>
      <c r="N111" s="42"/>
      <c r="O111" s="42"/>
      <c r="P111" s="45"/>
      <c r="Q111" s="42"/>
      <c r="R111" s="42"/>
      <c r="S111" s="42"/>
      <c r="T111" s="12">
        <f t="shared" si="28"/>
        <v>0</v>
      </c>
      <c r="U111" s="45"/>
      <c r="V111" s="12">
        <f>+T111*0</f>
        <v>0</v>
      </c>
      <c r="W111" s="12">
        <f t="shared" si="29"/>
        <v>0</v>
      </c>
      <c r="X111" s="116"/>
      <c r="Y111" s="117">
        <f aca="true" t="shared" si="30" ref="Y111:Y129">+L111+W111</f>
        <v>0</v>
      </c>
      <c r="Z111" s="12"/>
      <c r="AA111" s="12">
        <f t="shared" si="22"/>
        <v>0</v>
      </c>
      <c r="AB111" s="12"/>
      <c r="AC111" s="12">
        <f t="shared" si="23"/>
        <v>0</v>
      </c>
      <c r="AD111" s="42"/>
      <c r="AE111" s="42"/>
    </row>
    <row r="112" spans="1:31" s="7" customFormat="1" ht="23.25">
      <c r="A112" s="42" t="s">
        <v>0</v>
      </c>
      <c r="B112" s="42" t="s">
        <v>1</v>
      </c>
      <c r="C112" s="45" t="s">
        <v>1200</v>
      </c>
      <c r="D112" s="45" t="s">
        <v>804</v>
      </c>
      <c r="E112" s="29" t="s">
        <v>907</v>
      </c>
      <c r="F112" s="47" t="s">
        <v>137</v>
      </c>
      <c r="G112" s="42"/>
      <c r="H112" s="42">
        <v>3</v>
      </c>
      <c r="I112" s="44">
        <v>12.6</v>
      </c>
      <c r="J112" s="44">
        <f aca="true" t="shared" si="31" ref="J112:J119">+I112+(H112*100)+(G112*400)</f>
        <v>312.6</v>
      </c>
      <c r="K112" s="42">
        <v>6000</v>
      </c>
      <c r="L112" s="12">
        <f t="shared" si="26"/>
        <v>1875600.0000000002</v>
      </c>
      <c r="M112" s="42"/>
      <c r="N112" s="42" t="s">
        <v>60</v>
      </c>
      <c r="O112" s="101" t="s">
        <v>446</v>
      </c>
      <c r="P112" s="45" t="s">
        <v>137</v>
      </c>
      <c r="Q112" s="100">
        <v>70</v>
      </c>
      <c r="R112" s="100"/>
      <c r="S112" s="42">
        <v>7550</v>
      </c>
      <c r="T112" s="12">
        <f aca="true" t="shared" si="32" ref="T112:T119">+Q112*S112</f>
        <v>528500</v>
      </c>
      <c r="U112" s="102" t="s">
        <v>84</v>
      </c>
      <c r="V112" s="12">
        <f>+T112*0.2</f>
        <v>105700</v>
      </c>
      <c r="W112" s="12">
        <f aca="true" t="shared" si="33" ref="W112:W119">+T112-V112</f>
        <v>422800</v>
      </c>
      <c r="X112" s="116"/>
      <c r="Y112" s="117">
        <f t="shared" si="30"/>
        <v>2298400</v>
      </c>
      <c r="Z112" s="12">
        <f>+Y112</f>
        <v>2298400</v>
      </c>
      <c r="AA112" s="12">
        <f t="shared" si="22"/>
        <v>0</v>
      </c>
      <c r="AB112" s="12"/>
      <c r="AC112" s="12">
        <f t="shared" si="23"/>
        <v>0</v>
      </c>
      <c r="AD112" s="31" t="s">
        <v>906</v>
      </c>
      <c r="AE112" s="42"/>
    </row>
    <row r="113" spans="1:31" s="7" customFormat="1" ht="23.25">
      <c r="A113" s="42"/>
      <c r="B113" s="42"/>
      <c r="C113" s="45"/>
      <c r="D113" s="45"/>
      <c r="E113" s="45"/>
      <c r="F113" s="47"/>
      <c r="G113" s="42"/>
      <c r="H113" s="42"/>
      <c r="I113" s="44"/>
      <c r="J113" s="44">
        <f t="shared" si="31"/>
        <v>0</v>
      </c>
      <c r="K113" s="42"/>
      <c r="L113" s="42">
        <f t="shared" si="26"/>
        <v>0</v>
      </c>
      <c r="M113" s="42"/>
      <c r="N113" s="42"/>
      <c r="O113" s="42"/>
      <c r="P113" s="45"/>
      <c r="Q113" s="42"/>
      <c r="R113" s="42"/>
      <c r="S113" s="42"/>
      <c r="T113" s="12">
        <f t="shared" si="32"/>
        <v>0</v>
      </c>
      <c r="U113" s="45"/>
      <c r="V113" s="12">
        <f aca="true" t="shared" si="34" ref="V113:V119">+T113*0</f>
        <v>0</v>
      </c>
      <c r="W113" s="12">
        <f t="shared" si="33"/>
        <v>0</v>
      </c>
      <c r="X113" s="116"/>
      <c r="Y113" s="117">
        <f t="shared" si="30"/>
        <v>0</v>
      </c>
      <c r="Z113" s="12"/>
      <c r="AA113" s="12">
        <f t="shared" si="22"/>
        <v>0</v>
      </c>
      <c r="AB113" s="12"/>
      <c r="AC113" s="12">
        <f t="shared" si="23"/>
        <v>0</v>
      </c>
      <c r="AD113" s="42"/>
      <c r="AE113" s="42"/>
    </row>
    <row r="114" spans="1:31" s="7" customFormat="1" ht="23.25">
      <c r="A114" s="42" t="s">
        <v>0</v>
      </c>
      <c r="B114" s="42" t="s">
        <v>1</v>
      </c>
      <c r="C114" s="45" t="s">
        <v>1201</v>
      </c>
      <c r="D114" s="45" t="s">
        <v>805</v>
      </c>
      <c r="E114" s="29" t="s">
        <v>907</v>
      </c>
      <c r="F114" s="47" t="s">
        <v>177</v>
      </c>
      <c r="G114" s="42">
        <v>8</v>
      </c>
      <c r="H114" s="42">
        <v>2</v>
      </c>
      <c r="I114" s="44">
        <v>12.9</v>
      </c>
      <c r="J114" s="44">
        <f t="shared" si="31"/>
        <v>3412.9</v>
      </c>
      <c r="K114" s="42">
        <v>2000</v>
      </c>
      <c r="L114" s="12">
        <f t="shared" si="26"/>
        <v>6825800</v>
      </c>
      <c r="M114" s="42"/>
      <c r="N114" s="42"/>
      <c r="O114" s="100"/>
      <c r="P114" s="45"/>
      <c r="Q114" s="100"/>
      <c r="R114" s="100"/>
      <c r="S114" s="42"/>
      <c r="T114" s="12">
        <f t="shared" si="32"/>
        <v>0</v>
      </c>
      <c r="U114" s="45"/>
      <c r="V114" s="12">
        <f t="shared" si="34"/>
        <v>0</v>
      </c>
      <c r="W114" s="12">
        <f t="shared" si="33"/>
        <v>0</v>
      </c>
      <c r="X114" s="116"/>
      <c r="Y114" s="117">
        <f t="shared" si="30"/>
        <v>6825800</v>
      </c>
      <c r="Z114" s="12">
        <f>+Y114</f>
        <v>6825800</v>
      </c>
      <c r="AA114" s="12">
        <f t="shared" si="22"/>
        <v>0</v>
      </c>
      <c r="AB114" s="12"/>
      <c r="AC114" s="12">
        <f t="shared" si="23"/>
        <v>0</v>
      </c>
      <c r="AD114" s="42"/>
      <c r="AE114" s="42"/>
    </row>
    <row r="115" spans="1:31" s="7" customFormat="1" ht="23.25">
      <c r="A115" s="42"/>
      <c r="B115" s="42"/>
      <c r="C115" s="45"/>
      <c r="D115" s="45"/>
      <c r="E115" s="45"/>
      <c r="F115" s="47"/>
      <c r="G115" s="42"/>
      <c r="H115" s="42"/>
      <c r="I115" s="44"/>
      <c r="J115" s="44">
        <f t="shared" si="31"/>
        <v>0</v>
      </c>
      <c r="K115" s="42"/>
      <c r="L115" s="42">
        <f t="shared" si="26"/>
        <v>0</v>
      </c>
      <c r="M115" s="42"/>
      <c r="N115" s="42"/>
      <c r="O115" s="42"/>
      <c r="P115" s="45"/>
      <c r="Q115" s="42"/>
      <c r="R115" s="42"/>
      <c r="S115" s="42"/>
      <c r="T115" s="12">
        <f t="shared" si="32"/>
        <v>0</v>
      </c>
      <c r="U115" s="45"/>
      <c r="V115" s="12">
        <f t="shared" si="34"/>
        <v>0</v>
      </c>
      <c r="W115" s="12">
        <f t="shared" si="33"/>
        <v>0</v>
      </c>
      <c r="X115" s="116"/>
      <c r="Y115" s="117">
        <f t="shared" si="30"/>
        <v>0</v>
      </c>
      <c r="Z115" s="12"/>
      <c r="AA115" s="12">
        <f aca="true" t="shared" si="35" ref="AA115:AA156">+Y115-Z115</f>
        <v>0</v>
      </c>
      <c r="AB115" s="12"/>
      <c r="AC115" s="12">
        <f aca="true" t="shared" si="36" ref="AC115:AC156">+AA115*AB115/100</f>
        <v>0</v>
      </c>
      <c r="AD115" s="42"/>
      <c r="AE115" s="42"/>
    </row>
    <row r="116" spans="1:31" s="7" customFormat="1" ht="23.25">
      <c r="A116" s="42" t="s">
        <v>0</v>
      </c>
      <c r="B116" s="42" t="s">
        <v>1</v>
      </c>
      <c r="C116" s="45" t="s">
        <v>1202</v>
      </c>
      <c r="D116" s="45" t="s">
        <v>806</v>
      </c>
      <c r="E116" s="29" t="s">
        <v>907</v>
      </c>
      <c r="F116" s="47" t="s">
        <v>140</v>
      </c>
      <c r="G116" s="42"/>
      <c r="H116" s="42"/>
      <c r="I116" s="44">
        <v>49.3</v>
      </c>
      <c r="J116" s="44">
        <f t="shared" si="31"/>
        <v>49.3</v>
      </c>
      <c r="K116" s="42">
        <v>4000</v>
      </c>
      <c r="L116" s="12">
        <f t="shared" si="26"/>
        <v>197200</v>
      </c>
      <c r="M116" s="42"/>
      <c r="N116" s="42"/>
      <c r="O116" s="100"/>
      <c r="P116" s="45"/>
      <c r="Q116" s="100"/>
      <c r="R116" s="100"/>
      <c r="S116" s="42"/>
      <c r="T116" s="12">
        <f t="shared" si="32"/>
        <v>0</v>
      </c>
      <c r="U116" s="45"/>
      <c r="V116" s="12">
        <f t="shared" si="34"/>
        <v>0</v>
      </c>
      <c r="W116" s="12">
        <f t="shared" si="33"/>
        <v>0</v>
      </c>
      <c r="X116" s="116"/>
      <c r="Y116" s="117">
        <f t="shared" si="30"/>
        <v>197200</v>
      </c>
      <c r="Z116" s="12"/>
      <c r="AA116" s="12">
        <f t="shared" si="35"/>
        <v>197200</v>
      </c>
      <c r="AB116" s="12">
        <v>0.3</v>
      </c>
      <c r="AC116" s="12">
        <f t="shared" si="36"/>
        <v>591.6</v>
      </c>
      <c r="AD116" s="42"/>
      <c r="AE116" s="12"/>
    </row>
    <row r="117" spans="1:31" s="7" customFormat="1" ht="23.25">
      <c r="A117" s="42"/>
      <c r="B117" s="42"/>
      <c r="C117" s="45"/>
      <c r="D117" s="45"/>
      <c r="E117" s="45"/>
      <c r="F117" s="47"/>
      <c r="G117" s="42"/>
      <c r="H117" s="42"/>
      <c r="I117" s="44"/>
      <c r="J117" s="44">
        <f t="shared" si="31"/>
        <v>0</v>
      </c>
      <c r="K117" s="42"/>
      <c r="L117" s="42">
        <f t="shared" si="26"/>
        <v>0</v>
      </c>
      <c r="M117" s="42"/>
      <c r="N117" s="42"/>
      <c r="O117" s="42"/>
      <c r="P117" s="45"/>
      <c r="Q117" s="42"/>
      <c r="R117" s="42"/>
      <c r="S117" s="42"/>
      <c r="T117" s="12">
        <f t="shared" si="32"/>
        <v>0</v>
      </c>
      <c r="U117" s="45"/>
      <c r="V117" s="12">
        <f t="shared" si="34"/>
        <v>0</v>
      </c>
      <c r="W117" s="12">
        <f t="shared" si="33"/>
        <v>0</v>
      </c>
      <c r="X117" s="116"/>
      <c r="Y117" s="117">
        <f t="shared" si="30"/>
        <v>0</v>
      </c>
      <c r="Z117" s="12"/>
      <c r="AA117" s="12">
        <f t="shared" si="35"/>
        <v>0</v>
      </c>
      <c r="AB117" s="12"/>
      <c r="AC117" s="12">
        <f t="shared" si="36"/>
        <v>0</v>
      </c>
      <c r="AD117" s="42"/>
      <c r="AE117" s="42"/>
    </row>
    <row r="118" spans="1:31" s="7" customFormat="1" ht="23.25">
      <c r="A118" s="42"/>
      <c r="B118" s="42" t="s">
        <v>1856</v>
      </c>
      <c r="C118" s="45"/>
      <c r="D118" s="45"/>
      <c r="E118" s="45"/>
      <c r="F118" s="47"/>
      <c r="G118" s="42"/>
      <c r="H118" s="42"/>
      <c r="I118" s="44"/>
      <c r="J118" s="44">
        <f t="shared" si="31"/>
        <v>0</v>
      </c>
      <c r="K118" s="42"/>
      <c r="L118" s="42">
        <f>+K118*J118</f>
        <v>0</v>
      </c>
      <c r="M118" s="42"/>
      <c r="N118" s="42"/>
      <c r="O118" s="42"/>
      <c r="P118" s="45"/>
      <c r="Q118" s="42"/>
      <c r="R118" s="42"/>
      <c r="S118" s="42"/>
      <c r="T118" s="12">
        <f t="shared" si="32"/>
        <v>0</v>
      </c>
      <c r="U118" s="45"/>
      <c r="V118" s="12">
        <f t="shared" si="34"/>
        <v>0</v>
      </c>
      <c r="W118" s="12">
        <f t="shared" si="33"/>
        <v>0</v>
      </c>
      <c r="X118" s="116"/>
      <c r="Y118" s="117">
        <f>+L118+W118</f>
        <v>0</v>
      </c>
      <c r="Z118" s="12"/>
      <c r="AA118" s="12">
        <f>+Y118-Z118</f>
        <v>0</v>
      </c>
      <c r="AB118" s="12"/>
      <c r="AC118" s="12">
        <f>+AA118*AB118/100</f>
        <v>0</v>
      </c>
      <c r="AD118" s="42"/>
      <c r="AE118" s="42"/>
    </row>
    <row r="119" spans="1:31" s="7" customFormat="1" ht="23.25">
      <c r="A119" s="42"/>
      <c r="B119" s="42"/>
      <c r="C119" s="45"/>
      <c r="D119" s="45"/>
      <c r="E119" s="45"/>
      <c r="F119" s="47"/>
      <c r="G119" s="42"/>
      <c r="H119" s="42"/>
      <c r="I119" s="44"/>
      <c r="J119" s="44">
        <f t="shared" si="31"/>
        <v>0</v>
      </c>
      <c r="K119" s="42"/>
      <c r="L119" s="42">
        <f t="shared" si="26"/>
        <v>0</v>
      </c>
      <c r="M119" s="42"/>
      <c r="N119" s="42"/>
      <c r="O119" s="42"/>
      <c r="P119" s="45"/>
      <c r="Q119" s="42"/>
      <c r="R119" s="42"/>
      <c r="S119" s="42"/>
      <c r="T119" s="12">
        <f t="shared" si="32"/>
        <v>0</v>
      </c>
      <c r="U119" s="45"/>
      <c r="V119" s="12">
        <f t="shared" si="34"/>
        <v>0</v>
      </c>
      <c r="W119" s="12">
        <f t="shared" si="33"/>
        <v>0</v>
      </c>
      <c r="X119" s="116"/>
      <c r="Y119" s="117">
        <f t="shared" si="30"/>
        <v>0</v>
      </c>
      <c r="Z119" s="12"/>
      <c r="AA119" s="12">
        <f t="shared" si="35"/>
        <v>0</v>
      </c>
      <c r="AB119" s="12"/>
      <c r="AC119" s="12">
        <f t="shared" si="36"/>
        <v>0</v>
      </c>
      <c r="AD119" s="42"/>
      <c r="AE119" s="42"/>
    </row>
    <row r="120" spans="1:31" s="7" customFormat="1" ht="23.25">
      <c r="A120" s="42" t="s">
        <v>0</v>
      </c>
      <c r="B120" s="42" t="s">
        <v>1</v>
      </c>
      <c r="C120" s="45" t="s">
        <v>1207</v>
      </c>
      <c r="D120" s="45" t="s">
        <v>811</v>
      </c>
      <c r="E120" s="29" t="s">
        <v>907</v>
      </c>
      <c r="F120" s="47" t="s">
        <v>143</v>
      </c>
      <c r="G120" s="42"/>
      <c r="H120" s="42"/>
      <c r="I120" s="44">
        <v>25.7</v>
      </c>
      <c r="J120" s="44">
        <f aca="true" t="shared" si="37" ref="J120:J126">+I120+(H120*100)+(G120*400)</f>
        <v>25.7</v>
      </c>
      <c r="K120" s="42">
        <v>40000</v>
      </c>
      <c r="L120" s="12">
        <f t="shared" si="26"/>
        <v>1028000</v>
      </c>
      <c r="M120" s="42"/>
      <c r="N120" s="42" t="s">
        <v>112</v>
      </c>
      <c r="O120" s="104" t="s">
        <v>446</v>
      </c>
      <c r="P120" s="45">
        <v>3</v>
      </c>
      <c r="Q120" s="104">
        <v>64</v>
      </c>
      <c r="R120" s="104"/>
      <c r="S120" s="42">
        <v>3500</v>
      </c>
      <c r="T120" s="12">
        <f aca="true" t="shared" si="38" ref="T120:T126">+Q120*S120</f>
        <v>224000</v>
      </c>
      <c r="U120" s="45" t="s">
        <v>150</v>
      </c>
      <c r="V120" s="12">
        <f>+T120*0.04</f>
        <v>8960</v>
      </c>
      <c r="W120" s="12">
        <f aca="true" t="shared" si="39" ref="W120:W126">+T120-V120</f>
        <v>215040</v>
      </c>
      <c r="X120" s="116"/>
      <c r="Y120" s="117">
        <f t="shared" si="30"/>
        <v>1243040</v>
      </c>
      <c r="Z120" s="12"/>
      <c r="AA120" s="12">
        <f t="shared" si="35"/>
        <v>1243040</v>
      </c>
      <c r="AB120" s="12">
        <v>0.3</v>
      </c>
      <c r="AC120" s="12">
        <f t="shared" si="36"/>
        <v>3729.12</v>
      </c>
      <c r="AD120" s="42"/>
      <c r="AE120" s="12"/>
    </row>
    <row r="121" spans="1:31" s="7" customFormat="1" ht="23.25">
      <c r="A121" s="42" t="s">
        <v>0</v>
      </c>
      <c r="B121" s="42" t="s">
        <v>1</v>
      </c>
      <c r="C121" s="45" t="s">
        <v>1208</v>
      </c>
      <c r="D121" s="45" t="s">
        <v>812</v>
      </c>
      <c r="E121" s="29" t="s">
        <v>907</v>
      </c>
      <c r="F121" s="47" t="s">
        <v>143</v>
      </c>
      <c r="G121" s="42"/>
      <c r="H121" s="42"/>
      <c r="I121" s="44">
        <v>24.7</v>
      </c>
      <c r="J121" s="44">
        <f t="shared" si="37"/>
        <v>24.7</v>
      </c>
      <c r="K121" s="42">
        <v>40000</v>
      </c>
      <c r="L121" s="12">
        <f>+K121*J121</f>
        <v>988000</v>
      </c>
      <c r="M121" s="42"/>
      <c r="N121" s="42" t="s">
        <v>112</v>
      </c>
      <c r="O121" s="104" t="s">
        <v>446</v>
      </c>
      <c r="P121" s="45">
        <v>3</v>
      </c>
      <c r="Q121" s="104">
        <v>64</v>
      </c>
      <c r="R121" s="104"/>
      <c r="S121" s="42">
        <v>3500</v>
      </c>
      <c r="T121" s="12">
        <f t="shared" si="38"/>
        <v>224000</v>
      </c>
      <c r="U121" s="45" t="s">
        <v>150</v>
      </c>
      <c r="V121" s="12">
        <f>+T121*0.04</f>
        <v>8960</v>
      </c>
      <c r="W121" s="12">
        <f t="shared" si="39"/>
        <v>215040</v>
      </c>
      <c r="X121" s="116"/>
      <c r="Y121" s="117">
        <f t="shared" si="30"/>
        <v>1203040</v>
      </c>
      <c r="Z121" s="12"/>
      <c r="AA121" s="12">
        <f>+Y121-Z121</f>
        <v>1203040</v>
      </c>
      <c r="AB121" s="12">
        <v>0.3</v>
      </c>
      <c r="AC121" s="12">
        <f>+AA121*AB121/100</f>
        <v>3609.12</v>
      </c>
      <c r="AD121" s="42"/>
      <c r="AE121" s="12"/>
    </row>
    <row r="122" spans="1:31" s="7" customFormat="1" ht="23.25">
      <c r="A122" s="42" t="s">
        <v>0</v>
      </c>
      <c r="B122" s="42" t="s">
        <v>1</v>
      </c>
      <c r="C122" s="45" t="s">
        <v>1209</v>
      </c>
      <c r="D122" s="45" t="s">
        <v>813</v>
      </c>
      <c r="E122" s="29" t="s">
        <v>907</v>
      </c>
      <c r="F122" s="47" t="s">
        <v>140</v>
      </c>
      <c r="G122" s="42"/>
      <c r="H122" s="42"/>
      <c r="I122" s="44">
        <v>49.4</v>
      </c>
      <c r="J122" s="44">
        <f t="shared" si="37"/>
        <v>49.4</v>
      </c>
      <c r="K122" s="42">
        <v>10000</v>
      </c>
      <c r="L122" s="12">
        <f>+K122*J122</f>
        <v>494000</v>
      </c>
      <c r="M122" s="42"/>
      <c r="N122" s="42"/>
      <c r="O122" s="42"/>
      <c r="P122" s="45"/>
      <c r="Q122" s="42"/>
      <c r="R122" s="42"/>
      <c r="S122" s="42"/>
      <c r="T122" s="12">
        <f t="shared" si="38"/>
        <v>0</v>
      </c>
      <c r="U122" s="45"/>
      <c r="V122" s="12">
        <f aca="true" t="shared" si="40" ref="V122:V129">+T122*0</f>
        <v>0</v>
      </c>
      <c r="W122" s="12">
        <f t="shared" si="39"/>
        <v>0</v>
      </c>
      <c r="X122" s="116"/>
      <c r="Y122" s="117">
        <f t="shared" si="30"/>
        <v>494000</v>
      </c>
      <c r="Z122" s="12"/>
      <c r="AA122" s="12">
        <f>+Y122-Z122</f>
        <v>494000</v>
      </c>
      <c r="AB122" s="12">
        <v>0.3</v>
      </c>
      <c r="AC122" s="12">
        <f>+AA122*AB122/100</f>
        <v>1482</v>
      </c>
      <c r="AD122" s="42"/>
      <c r="AE122" s="12"/>
    </row>
    <row r="123" spans="1:31" s="7" customFormat="1" ht="23.25">
      <c r="A123" s="42" t="s">
        <v>0</v>
      </c>
      <c r="B123" s="42" t="s">
        <v>1</v>
      </c>
      <c r="C123" s="45" t="s">
        <v>1210</v>
      </c>
      <c r="D123" s="45" t="s">
        <v>814</v>
      </c>
      <c r="E123" s="29" t="s">
        <v>907</v>
      </c>
      <c r="F123" s="47" t="s">
        <v>140</v>
      </c>
      <c r="G123" s="42"/>
      <c r="H123" s="42"/>
      <c r="I123" s="44">
        <v>49.7</v>
      </c>
      <c r="J123" s="44">
        <f t="shared" si="37"/>
        <v>49.7</v>
      </c>
      <c r="K123" s="42">
        <v>10000</v>
      </c>
      <c r="L123" s="12">
        <f>+K123*J123</f>
        <v>497000</v>
      </c>
      <c r="M123" s="42"/>
      <c r="N123" s="42"/>
      <c r="O123" s="42"/>
      <c r="P123" s="45"/>
      <c r="Q123" s="42"/>
      <c r="R123" s="42"/>
      <c r="S123" s="42"/>
      <c r="T123" s="12">
        <f t="shared" si="38"/>
        <v>0</v>
      </c>
      <c r="U123" s="45"/>
      <c r="V123" s="12">
        <f t="shared" si="40"/>
        <v>0</v>
      </c>
      <c r="W123" s="12">
        <f t="shared" si="39"/>
        <v>0</v>
      </c>
      <c r="X123" s="116"/>
      <c r="Y123" s="117">
        <f t="shared" si="30"/>
        <v>497000</v>
      </c>
      <c r="Z123" s="12"/>
      <c r="AA123" s="12">
        <f>+Y123-Z123</f>
        <v>497000</v>
      </c>
      <c r="AB123" s="12">
        <v>0.3</v>
      </c>
      <c r="AC123" s="12">
        <f>+AA123*AB123/100</f>
        <v>1491</v>
      </c>
      <c r="AD123" s="42"/>
      <c r="AE123" s="12"/>
    </row>
    <row r="124" spans="1:31" s="7" customFormat="1" ht="23.25">
      <c r="A124" s="42" t="s">
        <v>0</v>
      </c>
      <c r="B124" s="42" t="s">
        <v>1</v>
      </c>
      <c r="C124" s="45" t="s">
        <v>1211</v>
      </c>
      <c r="D124" s="45" t="s">
        <v>815</v>
      </c>
      <c r="E124" s="29" t="s">
        <v>907</v>
      </c>
      <c r="F124" s="47" t="s">
        <v>140</v>
      </c>
      <c r="G124" s="42"/>
      <c r="H124" s="42"/>
      <c r="I124" s="44">
        <v>50</v>
      </c>
      <c r="J124" s="44">
        <f t="shared" si="37"/>
        <v>50</v>
      </c>
      <c r="K124" s="42">
        <v>10000</v>
      </c>
      <c r="L124" s="12">
        <f t="shared" si="26"/>
        <v>500000</v>
      </c>
      <c r="M124" s="42"/>
      <c r="N124" s="42"/>
      <c r="O124" s="100"/>
      <c r="P124" s="45"/>
      <c r="Q124" s="100"/>
      <c r="R124" s="100"/>
      <c r="S124" s="42"/>
      <c r="T124" s="12">
        <f t="shared" si="38"/>
        <v>0</v>
      </c>
      <c r="U124" s="45"/>
      <c r="V124" s="12">
        <f t="shared" si="40"/>
        <v>0</v>
      </c>
      <c r="W124" s="12">
        <f t="shared" si="39"/>
        <v>0</v>
      </c>
      <c r="X124" s="116"/>
      <c r="Y124" s="117">
        <f t="shared" si="30"/>
        <v>500000</v>
      </c>
      <c r="Z124" s="12"/>
      <c r="AA124" s="12">
        <f t="shared" si="35"/>
        <v>500000</v>
      </c>
      <c r="AB124" s="12">
        <v>0.3</v>
      </c>
      <c r="AC124" s="12">
        <f t="shared" si="36"/>
        <v>1500</v>
      </c>
      <c r="AD124" s="42"/>
      <c r="AE124" s="12"/>
    </row>
    <row r="125" spans="1:31" s="7" customFormat="1" ht="23.25">
      <c r="A125" s="42" t="s">
        <v>0</v>
      </c>
      <c r="B125" s="42" t="s">
        <v>1</v>
      </c>
      <c r="C125" s="45" t="s">
        <v>1212</v>
      </c>
      <c r="D125" s="45" t="s">
        <v>816</v>
      </c>
      <c r="E125" s="29" t="s">
        <v>907</v>
      </c>
      <c r="F125" s="47" t="s">
        <v>140</v>
      </c>
      <c r="G125" s="42"/>
      <c r="H125" s="42"/>
      <c r="I125" s="44">
        <v>50.3</v>
      </c>
      <c r="J125" s="44">
        <f t="shared" si="37"/>
        <v>50.3</v>
      </c>
      <c r="K125" s="42">
        <v>10000</v>
      </c>
      <c r="L125" s="12">
        <f t="shared" si="26"/>
        <v>503000</v>
      </c>
      <c r="M125" s="42"/>
      <c r="N125" s="42"/>
      <c r="O125" s="42"/>
      <c r="P125" s="45"/>
      <c r="Q125" s="42"/>
      <c r="R125" s="42"/>
      <c r="S125" s="42"/>
      <c r="T125" s="12">
        <f t="shared" si="38"/>
        <v>0</v>
      </c>
      <c r="U125" s="45"/>
      <c r="V125" s="12">
        <f t="shared" si="40"/>
        <v>0</v>
      </c>
      <c r="W125" s="12">
        <f t="shared" si="39"/>
        <v>0</v>
      </c>
      <c r="X125" s="116"/>
      <c r="Y125" s="117">
        <f t="shared" si="30"/>
        <v>503000</v>
      </c>
      <c r="Z125" s="12"/>
      <c r="AA125" s="12">
        <f t="shared" si="35"/>
        <v>503000</v>
      </c>
      <c r="AB125" s="12">
        <v>0.3</v>
      </c>
      <c r="AC125" s="12">
        <f t="shared" si="36"/>
        <v>1509</v>
      </c>
      <c r="AD125" s="42"/>
      <c r="AE125" s="12"/>
    </row>
    <row r="126" spans="1:31" s="7" customFormat="1" ht="23.25">
      <c r="A126" s="42"/>
      <c r="B126" s="42"/>
      <c r="C126" s="45"/>
      <c r="D126" s="45"/>
      <c r="E126" s="45"/>
      <c r="F126" s="47"/>
      <c r="G126" s="42"/>
      <c r="H126" s="42"/>
      <c r="I126" s="44"/>
      <c r="J126" s="44">
        <f t="shared" si="37"/>
        <v>0</v>
      </c>
      <c r="K126" s="42"/>
      <c r="L126" s="42">
        <f t="shared" si="26"/>
        <v>0</v>
      </c>
      <c r="M126" s="42"/>
      <c r="N126" s="42"/>
      <c r="O126" s="42"/>
      <c r="P126" s="45"/>
      <c r="Q126" s="42"/>
      <c r="R126" s="42"/>
      <c r="S126" s="42"/>
      <c r="T126" s="12">
        <f t="shared" si="38"/>
        <v>0</v>
      </c>
      <c r="U126" s="45"/>
      <c r="V126" s="12">
        <f t="shared" si="40"/>
        <v>0</v>
      </c>
      <c r="W126" s="12">
        <f t="shared" si="39"/>
        <v>0</v>
      </c>
      <c r="X126" s="116"/>
      <c r="Y126" s="117">
        <f t="shared" si="30"/>
        <v>0</v>
      </c>
      <c r="Z126" s="12"/>
      <c r="AA126" s="12">
        <f t="shared" si="35"/>
        <v>0</v>
      </c>
      <c r="AB126" s="12"/>
      <c r="AC126" s="12">
        <f t="shared" si="36"/>
        <v>0</v>
      </c>
      <c r="AD126" s="42"/>
      <c r="AE126" s="42"/>
    </row>
    <row r="127" spans="1:31" s="7" customFormat="1" ht="23.25">
      <c r="A127" s="42" t="s">
        <v>0</v>
      </c>
      <c r="B127" s="42" t="s">
        <v>1</v>
      </c>
      <c r="C127" s="45" t="s">
        <v>1213</v>
      </c>
      <c r="D127" s="45" t="s">
        <v>817</v>
      </c>
      <c r="E127" s="10" t="s">
        <v>909</v>
      </c>
      <c r="F127" s="47" t="s">
        <v>140</v>
      </c>
      <c r="G127" s="42"/>
      <c r="H127" s="42"/>
      <c r="I127" s="44">
        <v>52.6</v>
      </c>
      <c r="J127" s="44">
        <f aca="true" t="shared" si="41" ref="J127:J167">+I127+(H127*100)+(G127*400)</f>
        <v>52.6</v>
      </c>
      <c r="K127" s="42">
        <v>12000</v>
      </c>
      <c r="L127" s="12">
        <f t="shared" si="26"/>
        <v>631200</v>
      </c>
      <c r="M127" s="42"/>
      <c r="N127" s="42"/>
      <c r="O127" s="100"/>
      <c r="P127" s="45"/>
      <c r="Q127" s="100"/>
      <c r="R127" s="100"/>
      <c r="S127" s="42"/>
      <c r="T127" s="12">
        <f aca="true" t="shared" si="42" ref="T127:T167">+Q127*S127</f>
        <v>0</v>
      </c>
      <c r="U127" s="45"/>
      <c r="V127" s="12">
        <f t="shared" si="40"/>
        <v>0</v>
      </c>
      <c r="W127" s="12">
        <f aca="true" t="shared" si="43" ref="W127:W167">+T127-V127</f>
        <v>0</v>
      </c>
      <c r="X127" s="116"/>
      <c r="Y127" s="117">
        <f t="shared" si="30"/>
        <v>631200</v>
      </c>
      <c r="Z127" s="12"/>
      <c r="AA127" s="12">
        <f t="shared" si="35"/>
        <v>631200</v>
      </c>
      <c r="AB127" s="12">
        <v>0.3</v>
      </c>
      <c r="AC127" s="12">
        <f t="shared" si="36"/>
        <v>1893.6</v>
      </c>
      <c r="AD127" s="42"/>
      <c r="AE127" s="12"/>
    </row>
    <row r="128" spans="1:31" s="7" customFormat="1" ht="23.25">
      <c r="A128" s="42"/>
      <c r="B128" s="42"/>
      <c r="C128" s="45"/>
      <c r="D128" s="45"/>
      <c r="E128" s="45"/>
      <c r="F128" s="47"/>
      <c r="G128" s="42"/>
      <c r="H128" s="42"/>
      <c r="I128" s="44"/>
      <c r="J128" s="44">
        <f t="shared" si="41"/>
        <v>0</v>
      </c>
      <c r="K128" s="42"/>
      <c r="L128" s="42">
        <f t="shared" si="26"/>
        <v>0</v>
      </c>
      <c r="M128" s="42"/>
      <c r="N128" s="42"/>
      <c r="O128" s="42"/>
      <c r="P128" s="45"/>
      <c r="Q128" s="42"/>
      <c r="R128" s="42"/>
      <c r="S128" s="42"/>
      <c r="T128" s="12">
        <f t="shared" si="42"/>
        <v>0</v>
      </c>
      <c r="U128" s="45"/>
      <c r="V128" s="12">
        <f t="shared" si="40"/>
        <v>0</v>
      </c>
      <c r="W128" s="12">
        <f t="shared" si="43"/>
        <v>0</v>
      </c>
      <c r="X128" s="116"/>
      <c r="Y128" s="117">
        <f t="shared" si="30"/>
        <v>0</v>
      </c>
      <c r="Z128" s="12"/>
      <c r="AA128" s="12">
        <f t="shared" si="35"/>
        <v>0</v>
      </c>
      <c r="AB128" s="12"/>
      <c r="AC128" s="12">
        <f t="shared" si="36"/>
        <v>0</v>
      </c>
      <c r="AD128" s="42"/>
      <c r="AE128" s="42"/>
    </row>
    <row r="129" spans="1:31" s="7" customFormat="1" ht="23.25">
      <c r="A129" s="42"/>
      <c r="B129" s="42"/>
      <c r="C129" s="45"/>
      <c r="D129" s="45"/>
      <c r="E129" s="45"/>
      <c r="F129" s="47"/>
      <c r="G129" s="42"/>
      <c r="H129" s="42"/>
      <c r="I129" s="44"/>
      <c r="J129" s="44">
        <f t="shared" si="41"/>
        <v>0</v>
      </c>
      <c r="K129" s="42"/>
      <c r="L129" s="42">
        <f t="shared" si="26"/>
        <v>0</v>
      </c>
      <c r="M129" s="42"/>
      <c r="N129" s="42"/>
      <c r="O129" s="42"/>
      <c r="P129" s="45"/>
      <c r="Q129" s="42"/>
      <c r="R129" s="42"/>
      <c r="S129" s="42"/>
      <c r="T129" s="12">
        <f t="shared" si="42"/>
        <v>0</v>
      </c>
      <c r="U129" s="45"/>
      <c r="V129" s="12">
        <f t="shared" si="40"/>
        <v>0</v>
      </c>
      <c r="W129" s="12">
        <f t="shared" si="43"/>
        <v>0</v>
      </c>
      <c r="X129" s="116"/>
      <c r="Y129" s="117">
        <f t="shared" si="30"/>
        <v>0</v>
      </c>
      <c r="Z129" s="12"/>
      <c r="AA129" s="12">
        <f t="shared" si="35"/>
        <v>0</v>
      </c>
      <c r="AB129" s="12"/>
      <c r="AC129" s="12">
        <f t="shared" si="36"/>
        <v>0</v>
      </c>
      <c r="AD129" s="42"/>
      <c r="AE129" s="42"/>
    </row>
    <row r="130" spans="1:31" s="7" customFormat="1" ht="23.25">
      <c r="A130" s="42" t="s">
        <v>0</v>
      </c>
      <c r="B130" s="42" t="s">
        <v>1</v>
      </c>
      <c r="C130" s="45" t="s">
        <v>1214</v>
      </c>
      <c r="D130" s="45" t="s">
        <v>818</v>
      </c>
      <c r="E130" s="30" t="s">
        <v>908</v>
      </c>
      <c r="F130" s="47" t="s">
        <v>167</v>
      </c>
      <c r="G130" s="42"/>
      <c r="H130" s="42"/>
      <c r="I130" s="44">
        <v>28.6</v>
      </c>
      <c r="J130" s="44">
        <f t="shared" si="41"/>
        <v>28.6</v>
      </c>
      <c r="K130" s="42">
        <v>100000</v>
      </c>
      <c r="L130" s="12">
        <f t="shared" si="26"/>
        <v>2860000</v>
      </c>
      <c r="M130" s="42">
        <v>1</v>
      </c>
      <c r="N130" s="42" t="s">
        <v>60</v>
      </c>
      <c r="O130" s="101" t="s">
        <v>446</v>
      </c>
      <c r="P130" s="45">
        <v>3</v>
      </c>
      <c r="Q130" s="100">
        <v>60</v>
      </c>
      <c r="R130" s="103">
        <v>22.92</v>
      </c>
      <c r="S130" s="42">
        <v>7550</v>
      </c>
      <c r="T130" s="12">
        <f t="shared" si="42"/>
        <v>453000</v>
      </c>
      <c r="U130" s="102" t="s">
        <v>96</v>
      </c>
      <c r="V130" s="12">
        <f>+T130*0.5</f>
        <v>226500</v>
      </c>
      <c r="W130" s="12">
        <f t="shared" si="43"/>
        <v>226500</v>
      </c>
      <c r="X130" s="116"/>
      <c r="Y130" s="117">
        <f>+L130*(R130/100)+W130</f>
        <v>882012</v>
      </c>
      <c r="Z130" s="12"/>
      <c r="AA130" s="12">
        <f t="shared" si="35"/>
        <v>882012</v>
      </c>
      <c r="AB130" s="12">
        <v>0.3</v>
      </c>
      <c r="AC130" s="12">
        <f t="shared" si="36"/>
        <v>2646.0359999999996</v>
      </c>
      <c r="AD130" s="42"/>
      <c r="AE130" s="12"/>
    </row>
    <row r="131" spans="1:31" s="7" customFormat="1" ht="23.25">
      <c r="A131" s="42" t="s">
        <v>0</v>
      </c>
      <c r="B131" s="42"/>
      <c r="C131" s="45"/>
      <c r="D131" s="45"/>
      <c r="E131" s="45"/>
      <c r="F131" s="47"/>
      <c r="G131" s="42"/>
      <c r="H131" s="42"/>
      <c r="I131" s="44"/>
      <c r="J131" s="44">
        <f t="shared" si="41"/>
        <v>0</v>
      </c>
      <c r="K131" s="42"/>
      <c r="L131" s="12">
        <f>+K131*J131</f>
        <v>0</v>
      </c>
      <c r="M131" s="42">
        <v>2</v>
      </c>
      <c r="N131" s="42" t="s">
        <v>60</v>
      </c>
      <c r="O131" s="101" t="s">
        <v>446</v>
      </c>
      <c r="P131" s="45">
        <v>2</v>
      </c>
      <c r="Q131" s="100">
        <v>201.75</v>
      </c>
      <c r="R131" s="103">
        <v>77.08</v>
      </c>
      <c r="S131" s="42">
        <v>7550</v>
      </c>
      <c r="T131" s="12">
        <f t="shared" si="42"/>
        <v>1523212.5</v>
      </c>
      <c r="U131" s="102" t="s">
        <v>96</v>
      </c>
      <c r="V131" s="12">
        <f>+T131*0.5</f>
        <v>761606.25</v>
      </c>
      <c r="W131" s="12">
        <f t="shared" si="43"/>
        <v>761606.25</v>
      </c>
      <c r="X131" s="116"/>
      <c r="Y131" s="117">
        <f>+L130*(R131/100)+W131</f>
        <v>2966094.25</v>
      </c>
      <c r="Z131" s="12"/>
      <c r="AA131" s="12">
        <f>+Y131-Z131</f>
        <v>2966094.25</v>
      </c>
      <c r="AB131" s="12">
        <v>0.02</v>
      </c>
      <c r="AC131" s="12">
        <f>+AA131*AB131/100</f>
        <v>593.21885</v>
      </c>
      <c r="AD131" s="42"/>
      <c r="AE131" s="12"/>
    </row>
    <row r="132" spans="1:31" s="7" customFormat="1" ht="23.25">
      <c r="A132" s="42" t="s">
        <v>0</v>
      </c>
      <c r="B132" s="42" t="s">
        <v>1</v>
      </c>
      <c r="C132" s="45" t="s">
        <v>1215</v>
      </c>
      <c r="D132" s="45" t="s">
        <v>819</v>
      </c>
      <c r="E132" s="30" t="s">
        <v>908</v>
      </c>
      <c r="F132" s="47" t="s">
        <v>167</v>
      </c>
      <c r="G132" s="42"/>
      <c r="H132" s="42"/>
      <c r="I132" s="44">
        <v>28.6</v>
      </c>
      <c r="J132" s="44">
        <f t="shared" si="41"/>
        <v>28.6</v>
      </c>
      <c r="K132" s="42">
        <v>100000</v>
      </c>
      <c r="L132" s="12">
        <f t="shared" si="26"/>
        <v>2860000</v>
      </c>
      <c r="M132" s="42">
        <v>1</v>
      </c>
      <c r="N132" s="42" t="s">
        <v>60</v>
      </c>
      <c r="O132" s="101" t="s">
        <v>446</v>
      </c>
      <c r="P132" s="45">
        <v>2</v>
      </c>
      <c r="Q132" s="100">
        <v>234.75</v>
      </c>
      <c r="R132" s="103">
        <v>89.69</v>
      </c>
      <c r="S132" s="42">
        <v>7550</v>
      </c>
      <c r="T132" s="12">
        <f t="shared" si="42"/>
        <v>1772362.5</v>
      </c>
      <c r="U132" s="102" t="s">
        <v>96</v>
      </c>
      <c r="V132" s="12">
        <f>+T132*0.5</f>
        <v>886181.25</v>
      </c>
      <c r="W132" s="12">
        <f t="shared" si="43"/>
        <v>886181.25</v>
      </c>
      <c r="X132" s="116"/>
      <c r="Y132" s="117">
        <f>+L132*(R132/100)+W132</f>
        <v>3451315.25</v>
      </c>
      <c r="Z132" s="12"/>
      <c r="AA132" s="12">
        <f t="shared" si="35"/>
        <v>3451315.25</v>
      </c>
      <c r="AB132" s="12">
        <v>0.02</v>
      </c>
      <c r="AC132" s="12">
        <f t="shared" si="36"/>
        <v>690.26305</v>
      </c>
      <c r="AD132" s="42"/>
      <c r="AE132" s="12"/>
    </row>
    <row r="133" spans="1:31" s="7" customFormat="1" ht="23.25">
      <c r="A133" s="42" t="s">
        <v>0</v>
      </c>
      <c r="B133" s="42"/>
      <c r="C133" s="45"/>
      <c r="D133" s="45"/>
      <c r="E133" s="45"/>
      <c r="F133" s="47"/>
      <c r="G133" s="42"/>
      <c r="H133" s="42"/>
      <c r="I133" s="44"/>
      <c r="J133" s="44">
        <f t="shared" si="41"/>
        <v>0</v>
      </c>
      <c r="K133" s="42"/>
      <c r="L133" s="12">
        <f t="shared" si="26"/>
        <v>0</v>
      </c>
      <c r="M133" s="42">
        <v>2</v>
      </c>
      <c r="N133" s="42" t="s">
        <v>60</v>
      </c>
      <c r="O133" s="101" t="s">
        <v>446</v>
      </c>
      <c r="P133" s="45">
        <v>3</v>
      </c>
      <c r="Q133" s="100">
        <v>27</v>
      </c>
      <c r="R133" s="103">
        <v>10.31</v>
      </c>
      <c r="S133" s="42">
        <v>7550</v>
      </c>
      <c r="T133" s="12">
        <f t="shared" si="42"/>
        <v>203850</v>
      </c>
      <c r="U133" s="102" t="s">
        <v>96</v>
      </c>
      <c r="V133" s="12">
        <f>+T133*0.5</f>
        <v>101925</v>
      </c>
      <c r="W133" s="12">
        <f t="shared" si="43"/>
        <v>101925</v>
      </c>
      <c r="X133" s="116"/>
      <c r="Y133" s="117">
        <f>+L132*(R133/100)+W133</f>
        <v>396791.00000000006</v>
      </c>
      <c r="Z133" s="12"/>
      <c r="AA133" s="12">
        <f t="shared" si="35"/>
        <v>396791.00000000006</v>
      </c>
      <c r="AB133" s="12">
        <v>0.3</v>
      </c>
      <c r="AC133" s="12">
        <f t="shared" si="36"/>
        <v>1190.3730000000003</v>
      </c>
      <c r="AD133" s="42"/>
      <c r="AE133" s="12"/>
    </row>
    <row r="134" spans="1:31" s="7" customFormat="1" ht="23.25">
      <c r="A134" s="42"/>
      <c r="B134" s="42"/>
      <c r="C134" s="45"/>
      <c r="D134" s="45"/>
      <c r="E134" s="45"/>
      <c r="F134" s="47"/>
      <c r="G134" s="42"/>
      <c r="H134" s="42"/>
      <c r="I134" s="44"/>
      <c r="J134" s="44">
        <f t="shared" si="41"/>
        <v>0</v>
      </c>
      <c r="K134" s="42"/>
      <c r="L134" s="42">
        <f t="shared" si="26"/>
        <v>0</v>
      </c>
      <c r="M134" s="42"/>
      <c r="N134" s="42"/>
      <c r="O134" s="42"/>
      <c r="P134" s="45"/>
      <c r="Q134" s="42"/>
      <c r="R134" s="42"/>
      <c r="S134" s="42"/>
      <c r="T134" s="12">
        <f t="shared" si="42"/>
        <v>0</v>
      </c>
      <c r="U134" s="45"/>
      <c r="V134" s="12">
        <f>+T134*0</f>
        <v>0</v>
      </c>
      <c r="W134" s="12">
        <f t="shared" si="43"/>
        <v>0</v>
      </c>
      <c r="X134" s="116"/>
      <c r="Y134" s="117">
        <f>+L134+W134</f>
        <v>0</v>
      </c>
      <c r="Z134" s="12"/>
      <c r="AA134" s="12">
        <f t="shared" si="35"/>
        <v>0</v>
      </c>
      <c r="AB134" s="12"/>
      <c r="AC134" s="12">
        <f t="shared" si="36"/>
        <v>0</v>
      </c>
      <c r="AD134" s="42"/>
      <c r="AE134" s="42"/>
    </row>
    <row r="135" spans="1:31" s="7" customFormat="1" ht="23.25">
      <c r="A135" s="42" t="s">
        <v>0</v>
      </c>
      <c r="B135" s="42" t="s">
        <v>1</v>
      </c>
      <c r="C135" s="45" t="s">
        <v>1216</v>
      </c>
      <c r="D135" s="45" t="s">
        <v>820</v>
      </c>
      <c r="E135" s="30" t="s">
        <v>908</v>
      </c>
      <c r="F135" s="47" t="s">
        <v>137</v>
      </c>
      <c r="G135" s="42"/>
      <c r="H135" s="42"/>
      <c r="I135" s="44">
        <v>37.9</v>
      </c>
      <c r="J135" s="44">
        <f t="shared" si="41"/>
        <v>37.9</v>
      </c>
      <c r="K135" s="42">
        <v>15000</v>
      </c>
      <c r="L135" s="12">
        <f t="shared" si="26"/>
        <v>568500</v>
      </c>
      <c r="M135" s="42"/>
      <c r="N135" s="42" t="s">
        <v>159</v>
      </c>
      <c r="O135" s="101" t="s">
        <v>446</v>
      </c>
      <c r="P135" s="45">
        <v>2</v>
      </c>
      <c r="Q135" s="100">
        <f>80*3</f>
        <v>240</v>
      </c>
      <c r="R135" s="100"/>
      <c r="S135" s="42">
        <v>7550</v>
      </c>
      <c r="T135" s="12">
        <f t="shared" si="42"/>
        <v>1812000</v>
      </c>
      <c r="U135" s="102" t="s">
        <v>84</v>
      </c>
      <c r="V135" s="12">
        <f>+T135*0.2</f>
        <v>362400</v>
      </c>
      <c r="W135" s="12">
        <f t="shared" si="43"/>
        <v>1449600</v>
      </c>
      <c r="X135" s="116"/>
      <c r="Y135" s="117">
        <f>+L135+W135</f>
        <v>2018100</v>
      </c>
      <c r="Z135" s="12"/>
      <c r="AA135" s="12">
        <f t="shared" si="35"/>
        <v>2018100</v>
      </c>
      <c r="AB135" s="12">
        <v>0.02</v>
      </c>
      <c r="AC135" s="12">
        <f t="shared" si="36"/>
        <v>403.62</v>
      </c>
      <c r="AD135" s="42"/>
      <c r="AE135" s="12"/>
    </row>
    <row r="136" spans="1:31" s="7" customFormat="1" ht="23.25">
      <c r="A136" s="42" t="s">
        <v>0</v>
      </c>
      <c r="B136" s="42" t="s">
        <v>1</v>
      </c>
      <c r="C136" s="45" t="s">
        <v>1217</v>
      </c>
      <c r="D136" s="45" t="s">
        <v>821</v>
      </c>
      <c r="E136" s="30" t="s">
        <v>908</v>
      </c>
      <c r="F136" s="47" t="s">
        <v>137</v>
      </c>
      <c r="G136" s="42"/>
      <c r="H136" s="42"/>
      <c r="I136" s="44">
        <v>26.9</v>
      </c>
      <c r="J136" s="44">
        <f t="shared" si="41"/>
        <v>26.9</v>
      </c>
      <c r="K136" s="42">
        <v>100000</v>
      </c>
      <c r="L136" s="12">
        <f t="shared" si="26"/>
        <v>2690000</v>
      </c>
      <c r="M136" s="42">
        <v>1</v>
      </c>
      <c r="N136" s="42" t="s">
        <v>60</v>
      </c>
      <c r="O136" s="101" t="s">
        <v>446</v>
      </c>
      <c r="P136" s="45" t="s">
        <v>137</v>
      </c>
      <c r="Q136" s="100">
        <v>240</v>
      </c>
      <c r="R136" s="42"/>
      <c r="S136" s="42">
        <v>7550</v>
      </c>
      <c r="T136" s="12">
        <f t="shared" si="42"/>
        <v>1812000</v>
      </c>
      <c r="U136" s="102" t="s">
        <v>84</v>
      </c>
      <c r="V136" s="12">
        <f>+T136*0.2</f>
        <v>362400</v>
      </c>
      <c r="W136" s="12">
        <f t="shared" si="43"/>
        <v>1449600</v>
      </c>
      <c r="X136" s="116"/>
      <c r="Y136" s="117">
        <f aca="true" t="shared" si="44" ref="Y136:Y157">+L136+W136</f>
        <v>4139600</v>
      </c>
      <c r="Z136" s="12"/>
      <c r="AA136" s="12">
        <f t="shared" si="35"/>
        <v>4139600</v>
      </c>
      <c r="AB136" s="12">
        <v>0.02</v>
      </c>
      <c r="AC136" s="12">
        <f t="shared" si="36"/>
        <v>827.92</v>
      </c>
      <c r="AD136" s="42"/>
      <c r="AE136" s="12"/>
    </row>
    <row r="137" spans="1:31" s="7" customFormat="1" ht="23.25">
      <c r="A137" s="42" t="s">
        <v>0</v>
      </c>
      <c r="B137" s="42" t="s">
        <v>1</v>
      </c>
      <c r="C137" s="45" t="s">
        <v>1218</v>
      </c>
      <c r="D137" s="51" t="s">
        <v>822</v>
      </c>
      <c r="E137" s="30" t="s">
        <v>908</v>
      </c>
      <c r="F137" s="47" t="s">
        <v>177</v>
      </c>
      <c r="G137" s="42">
        <v>5</v>
      </c>
      <c r="H137" s="42"/>
      <c r="I137" s="44"/>
      <c r="J137" s="44">
        <f t="shared" si="41"/>
        <v>2000</v>
      </c>
      <c r="K137" s="42">
        <v>11700</v>
      </c>
      <c r="L137" s="12">
        <f t="shared" si="26"/>
        <v>23400000</v>
      </c>
      <c r="M137" s="42"/>
      <c r="N137" s="42"/>
      <c r="O137" s="42"/>
      <c r="P137" s="45"/>
      <c r="Q137" s="42"/>
      <c r="R137" s="42"/>
      <c r="S137" s="42"/>
      <c r="T137" s="12">
        <f t="shared" si="42"/>
        <v>0</v>
      </c>
      <c r="U137" s="45"/>
      <c r="V137" s="12">
        <f>+T137*0</f>
        <v>0</v>
      </c>
      <c r="W137" s="12">
        <f t="shared" si="43"/>
        <v>0</v>
      </c>
      <c r="X137" s="116"/>
      <c r="Y137" s="117">
        <f t="shared" si="44"/>
        <v>23400000</v>
      </c>
      <c r="Z137" s="12">
        <f>+Y137</f>
        <v>23400000</v>
      </c>
      <c r="AA137" s="12">
        <f t="shared" si="35"/>
        <v>0</v>
      </c>
      <c r="AB137" s="12"/>
      <c r="AC137" s="12">
        <f t="shared" si="36"/>
        <v>0</v>
      </c>
      <c r="AD137" s="42"/>
      <c r="AE137" s="12"/>
    </row>
    <row r="138" spans="1:31" s="7" customFormat="1" ht="23.25">
      <c r="A138" s="42"/>
      <c r="B138" s="42"/>
      <c r="C138" s="45"/>
      <c r="D138" s="45"/>
      <c r="E138" s="45"/>
      <c r="F138" s="47"/>
      <c r="G138" s="42"/>
      <c r="H138" s="42"/>
      <c r="I138" s="44"/>
      <c r="J138" s="44">
        <f t="shared" si="41"/>
        <v>0</v>
      </c>
      <c r="K138" s="42"/>
      <c r="L138" s="42">
        <f t="shared" si="26"/>
        <v>0</v>
      </c>
      <c r="M138" s="42"/>
      <c r="N138" s="42"/>
      <c r="O138" s="42"/>
      <c r="P138" s="45"/>
      <c r="Q138" s="42"/>
      <c r="R138" s="42"/>
      <c r="S138" s="42"/>
      <c r="T138" s="12">
        <f t="shared" si="42"/>
        <v>0</v>
      </c>
      <c r="U138" s="45"/>
      <c r="V138" s="12">
        <f>+T138*0</f>
        <v>0</v>
      </c>
      <c r="W138" s="12">
        <f t="shared" si="43"/>
        <v>0</v>
      </c>
      <c r="X138" s="116"/>
      <c r="Y138" s="117">
        <f t="shared" si="44"/>
        <v>0</v>
      </c>
      <c r="Z138" s="12"/>
      <c r="AA138" s="12">
        <f t="shared" si="35"/>
        <v>0</v>
      </c>
      <c r="AB138" s="12"/>
      <c r="AC138" s="12">
        <f t="shared" si="36"/>
        <v>0</v>
      </c>
      <c r="AD138" s="42"/>
      <c r="AE138" s="42"/>
    </row>
    <row r="139" spans="1:31" s="7" customFormat="1" ht="23.25">
      <c r="A139" s="42"/>
      <c r="B139" s="42"/>
      <c r="C139" s="45"/>
      <c r="D139" s="45"/>
      <c r="E139" s="45"/>
      <c r="F139" s="47"/>
      <c r="G139" s="42"/>
      <c r="H139" s="42"/>
      <c r="I139" s="44"/>
      <c r="J139" s="44">
        <f t="shared" si="41"/>
        <v>0</v>
      </c>
      <c r="K139" s="42"/>
      <c r="L139" s="42">
        <f t="shared" si="26"/>
        <v>0</v>
      </c>
      <c r="M139" s="42"/>
      <c r="N139" s="42"/>
      <c r="O139" s="42"/>
      <c r="P139" s="45"/>
      <c r="Q139" s="42"/>
      <c r="R139" s="42"/>
      <c r="S139" s="42"/>
      <c r="T139" s="12">
        <f t="shared" si="42"/>
        <v>0</v>
      </c>
      <c r="U139" s="45"/>
      <c r="V139" s="12">
        <f>+T139*0</f>
        <v>0</v>
      </c>
      <c r="W139" s="12">
        <f t="shared" si="43"/>
        <v>0</v>
      </c>
      <c r="X139" s="116"/>
      <c r="Y139" s="117">
        <f t="shared" si="44"/>
        <v>0</v>
      </c>
      <c r="Z139" s="12"/>
      <c r="AA139" s="12">
        <f t="shared" si="35"/>
        <v>0</v>
      </c>
      <c r="AB139" s="12"/>
      <c r="AC139" s="12">
        <f t="shared" si="36"/>
        <v>0</v>
      </c>
      <c r="AD139" s="42"/>
      <c r="AE139" s="42"/>
    </row>
    <row r="140" spans="1:31" s="7" customFormat="1" ht="23.25">
      <c r="A140" s="42" t="s">
        <v>0</v>
      </c>
      <c r="B140" s="42" t="s">
        <v>1</v>
      </c>
      <c r="C140" s="45" t="s">
        <v>1219</v>
      </c>
      <c r="D140" s="45" t="s">
        <v>823</v>
      </c>
      <c r="E140" s="29" t="s">
        <v>907</v>
      </c>
      <c r="F140" s="47" t="s">
        <v>143</v>
      </c>
      <c r="G140" s="42"/>
      <c r="H140" s="42"/>
      <c r="I140" s="44">
        <v>18</v>
      </c>
      <c r="J140" s="44">
        <f t="shared" si="41"/>
        <v>18</v>
      </c>
      <c r="K140" s="42">
        <v>54500</v>
      </c>
      <c r="L140" s="12">
        <f t="shared" si="26"/>
        <v>981000</v>
      </c>
      <c r="M140" s="42"/>
      <c r="N140" s="42" t="s">
        <v>60</v>
      </c>
      <c r="O140" s="101" t="s">
        <v>446</v>
      </c>
      <c r="P140" s="45">
        <v>3</v>
      </c>
      <c r="Q140" s="100">
        <v>279</v>
      </c>
      <c r="R140" s="100"/>
      <c r="S140" s="42">
        <v>7550</v>
      </c>
      <c r="T140" s="12">
        <f t="shared" si="42"/>
        <v>2106450</v>
      </c>
      <c r="U140" s="102" t="s">
        <v>83</v>
      </c>
      <c r="V140" s="12">
        <f>+T140*0.18</f>
        <v>379161</v>
      </c>
      <c r="W140" s="12">
        <f t="shared" si="43"/>
        <v>1727289</v>
      </c>
      <c r="X140" s="116"/>
      <c r="Y140" s="117">
        <f t="shared" si="44"/>
        <v>2708289</v>
      </c>
      <c r="Z140" s="12"/>
      <c r="AA140" s="12">
        <f t="shared" si="35"/>
        <v>2708289</v>
      </c>
      <c r="AB140" s="12">
        <v>0.3</v>
      </c>
      <c r="AC140" s="12">
        <f t="shared" si="36"/>
        <v>8124.866999999999</v>
      </c>
      <c r="AD140" s="42"/>
      <c r="AE140" s="42"/>
    </row>
    <row r="141" spans="1:31" s="7" customFormat="1" ht="23.25">
      <c r="A141" s="42" t="s">
        <v>0</v>
      </c>
      <c r="B141" s="42" t="s">
        <v>1</v>
      </c>
      <c r="C141" s="45" t="s">
        <v>1220</v>
      </c>
      <c r="D141" s="45" t="s">
        <v>824</v>
      </c>
      <c r="E141" s="29" t="s">
        <v>907</v>
      </c>
      <c r="F141" s="47" t="s">
        <v>143</v>
      </c>
      <c r="G141" s="42"/>
      <c r="H141" s="42"/>
      <c r="I141" s="44">
        <v>18</v>
      </c>
      <c r="J141" s="44">
        <f t="shared" si="41"/>
        <v>18</v>
      </c>
      <c r="K141" s="42">
        <v>54500</v>
      </c>
      <c r="L141" s="12">
        <f t="shared" si="26"/>
        <v>981000</v>
      </c>
      <c r="M141" s="42"/>
      <c r="N141" s="42" t="s">
        <v>60</v>
      </c>
      <c r="O141" s="101" t="s">
        <v>446</v>
      </c>
      <c r="P141" s="45">
        <v>3</v>
      </c>
      <c r="Q141" s="100">
        <v>279</v>
      </c>
      <c r="R141" s="100"/>
      <c r="S141" s="42">
        <v>7550</v>
      </c>
      <c r="T141" s="12">
        <f t="shared" si="42"/>
        <v>2106450</v>
      </c>
      <c r="U141" s="102" t="s">
        <v>83</v>
      </c>
      <c r="V141" s="12">
        <f>+T141*0.18</f>
        <v>379161</v>
      </c>
      <c r="W141" s="12">
        <f t="shared" si="43"/>
        <v>1727289</v>
      </c>
      <c r="X141" s="116"/>
      <c r="Y141" s="117">
        <f t="shared" si="44"/>
        <v>2708289</v>
      </c>
      <c r="Z141" s="12"/>
      <c r="AA141" s="12">
        <f t="shared" si="35"/>
        <v>2708289</v>
      </c>
      <c r="AB141" s="12">
        <v>0.3</v>
      </c>
      <c r="AC141" s="12">
        <f t="shared" si="36"/>
        <v>8124.866999999999</v>
      </c>
      <c r="AD141" s="42"/>
      <c r="AE141" s="42"/>
    </row>
    <row r="142" spans="1:31" s="7" customFormat="1" ht="23.25">
      <c r="A142" s="42"/>
      <c r="B142" s="42"/>
      <c r="C142" s="45"/>
      <c r="D142" s="45"/>
      <c r="E142" s="45"/>
      <c r="F142" s="47"/>
      <c r="G142" s="42"/>
      <c r="H142" s="42"/>
      <c r="I142" s="44"/>
      <c r="J142" s="44">
        <f t="shared" si="41"/>
        <v>0</v>
      </c>
      <c r="K142" s="42"/>
      <c r="L142" s="42">
        <f t="shared" si="26"/>
        <v>0</v>
      </c>
      <c r="M142" s="42"/>
      <c r="N142" s="42"/>
      <c r="O142" s="42"/>
      <c r="P142" s="45"/>
      <c r="Q142" s="42"/>
      <c r="R142" s="42"/>
      <c r="S142" s="42"/>
      <c r="T142" s="12">
        <f t="shared" si="42"/>
        <v>0</v>
      </c>
      <c r="U142" s="45"/>
      <c r="V142" s="12">
        <f>+T142*0</f>
        <v>0</v>
      </c>
      <c r="W142" s="12">
        <f t="shared" si="43"/>
        <v>0</v>
      </c>
      <c r="X142" s="116"/>
      <c r="Y142" s="117">
        <f t="shared" si="44"/>
        <v>0</v>
      </c>
      <c r="Z142" s="12"/>
      <c r="AA142" s="12">
        <f t="shared" si="35"/>
        <v>0</v>
      </c>
      <c r="AB142" s="12"/>
      <c r="AC142" s="12">
        <f t="shared" si="36"/>
        <v>0</v>
      </c>
      <c r="AD142" s="42"/>
      <c r="AE142" s="42"/>
    </row>
    <row r="143" spans="1:31" s="7" customFormat="1" ht="23.25">
      <c r="A143" s="42"/>
      <c r="B143" s="42"/>
      <c r="C143" s="45"/>
      <c r="D143" s="45"/>
      <c r="E143" s="45"/>
      <c r="F143" s="47"/>
      <c r="G143" s="42"/>
      <c r="H143" s="42"/>
      <c r="I143" s="44"/>
      <c r="J143" s="44">
        <f t="shared" si="41"/>
        <v>0</v>
      </c>
      <c r="K143" s="42"/>
      <c r="L143" s="42">
        <f t="shared" si="26"/>
        <v>0</v>
      </c>
      <c r="M143" s="42"/>
      <c r="N143" s="42"/>
      <c r="O143" s="42"/>
      <c r="P143" s="45"/>
      <c r="Q143" s="42"/>
      <c r="R143" s="42"/>
      <c r="S143" s="42"/>
      <c r="T143" s="12">
        <f t="shared" si="42"/>
        <v>0</v>
      </c>
      <c r="U143" s="45"/>
      <c r="V143" s="12">
        <f>+T143*0</f>
        <v>0</v>
      </c>
      <c r="W143" s="12">
        <f t="shared" si="43"/>
        <v>0</v>
      </c>
      <c r="X143" s="116"/>
      <c r="Y143" s="117">
        <f t="shared" si="44"/>
        <v>0</v>
      </c>
      <c r="Z143" s="12"/>
      <c r="AA143" s="12">
        <f t="shared" si="35"/>
        <v>0</v>
      </c>
      <c r="AB143" s="12"/>
      <c r="AC143" s="12">
        <f t="shared" si="36"/>
        <v>0</v>
      </c>
      <c r="AD143" s="42"/>
      <c r="AE143" s="42"/>
    </row>
    <row r="144" spans="1:31" s="7" customFormat="1" ht="23.25">
      <c r="A144" s="42" t="s">
        <v>0</v>
      </c>
      <c r="B144" s="42" t="s">
        <v>1</v>
      </c>
      <c r="C144" s="45" t="s">
        <v>1221</v>
      </c>
      <c r="D144" s="51" t="s">
        <v>825</v>
      </c>
      <c r="E144" s="30" t="s">
        <v>908</v>
      </c>
      <c r="F144" s="47" t="s">
        <v>167</v>
      </c>
      <c r="G144" s="42"/>
      <c r="H144" s="42"/>
      <c r="I144" s="44">
        <v>17.8</v>
      </c>
      <c r="J144" s="44">
        <f t="shared" si="41"/>
        <v>17.8</v>
      </c>
      <c r="K144" s="42">
        <v>60000</v>
      </c>
      <c r="L144" s="12">
        <f aca="true" t="shared" si="45" ref="L144:L205">+K144*J144</f>
        <v>1068000</v>
      </c>
      <c r="M144" s="42">
        <v>1</v>
      </c>
      <c r="N144" s="42" t="s">
        <v>60</v>
      </c>
      <c r="O144" s="101" t="s">
        <v>446</v>
      </c>
      <c r="P144" s="45">
        <v>3</v>
      </c>
      <c r="Q144" s="100">
        <v>49</v>
      </c>
      <c r="R144" s="103">
        <v>22.22</v>
      </c>
      <c r="S144" s="42">
        <v>7550</v>
      </c>
      <c r="T144" s="12">
        <f t="shared" si="42"/>
        <v>369950</v>
      </c>
      <c r="U144" s="102" t="s">
        <v>83</v>
      </c>
      <c r="V144" s="12">
        <f>+T144*0.18</f>
        <v>66591</v>
      </c>
      <c r="W144" s="12">
        <f t="shared" si="43"/>
        <v>303359</v>
      </c>
      <c r="X144" s="116"/>
      <c r="Y144" s="117">
        <f>+L144*(R144/100)+W144</f>
        <v>540668.6</v>
      </c>
      <c r="Z144" s="12"/>
      <c r="AA144" s="12">
        <f t="shared" si="35"/>
        <v>540668.6</v>
      </c>
      <c r="AB144" s="12">
        <v>0.3</v>
      </c>
      <c r="AC144" s="12">
        <f t="shared" si="36"/>
        <v>1622.0058</v>
      </c>
      <c r="AD144" s="42"/>
      <c r="AE144" s="42"/>
    </row>
    <row r="145" spans="1:31" s="7" customFormat="1" ht="23.25">
      <c r="A145" s="42" t="s">
        <v>0</v>
      </c>
      <c r="B145" s="42"/>
      <c r="C145" s="45"/>
      <c r="D145" s="45"/>
      <c r="E145" s="45"/>
      <c r="F145" s="47"/>
      <c r="G145" s="42"/>
      <c r="H145" s="42"/>
      <c r="I145" s="44"/>
      <c r="J145" s="44">
        <f t="shared" si="41"/>
        <v>0</v>
      </c>
      <c r="K145" s="42"/>
      <c r="L145" s="12">
        <f t="shared" si="45"/>
        <v>0</v>
      </c>
      <c r="M145" s="42">
        <v>2</v>
      </c>
      <c r="N145" s="42" t="s">
        <v>60</v>
      </c>
      <c r="O145" s="101" t="s">
        <v>446</v>
      </c>
      <c r="P145" s="45">
        <v>2</v>
      </c>
      <c r="Q145" s="100">
        <v>171.5</v>
      </c>
      <c r="R145" s="103">
        <v>77.78</v>
      </c>
      <c r="S145" s="42">
        <v>7550</v>
      </c>
      <c r="T145" s="12">
        <f t="shared" si="42"/>
        <v>1294825</v>
      </c>
      <c r="U145" s="102" t="s">
        <v>83</v>
      </c>
      <c r="V145" s="12">
        <f>+T145*0.18</f>
        <v>233068.5</v>
      </c>
      <c r="W145" s="12">
        <f t="shared" si="43"/>
        <v>1061756.5</v>
      </c>
      <c r="X145" s="116"/>
      <c r="Y145" s="117">
        <f>+L144*(R145/100)+W145</f>
        <v>1892446.9</v>
      </c>
      <c r="Z145" s="12"/>
      <c r="AA145" s="12">
        <f t="shared" si="35"/>
        <v>1892446.9</v>
      </c>
      <c r="AB145" s="12">
        <v>0.02</v>
      </c>
      <c r="AC145" s="12">
        <f t="shared" si="36"/>
        <v>378.48938000000004</v>
      </c>
      <c r="AD145" s="42"/>
      <c r="AE145" s="42"/>
    </row>
    <row r="146" spans="1:31" s="7" customFormat="1" ht="23.25">
      <c r="A146" s="42"/>
      <c r="B146" s="42"/>
      <c r="C146" s="45"/>
      <c r="D146" s="45"/>
      <c r="E146" s="45"/>
      <c r="F146" s="47"/>
      <c r="G146" s="42"/>
      <c r="H146" s="42"/>
      <c r="I146" s="44"/>
      <c r="J146" s="44">
        <f t="shared" si="41"/>
        <v>0</v>
      </c>
      <c r="K146" s="42"/>
      <c r="L146" s="42">
        <f t="shared" si="45"/>
        <v>0</v>
      </c>
      <c r="M146" s="42"/>
      <c r="N146" s="42"/>
      <c r="O146" s="42"/>
      <c r="P146" s="45"/>
      <c r="Q146" s="42"/>
      <c r="R146" s="42"/>
      <c r="S146" s="42"/>
      <c r="T146" s="12">
        <f t="shared" si="42"/>
        <v>0</v>
      </c>
      <c r="U146" s="45"/>
      <c r="V146" s="12">
        <f>+T146*0</f>
        <v>0</v>
      </c>
      <c r="W146" s="12">
        <f t="shared" si="43"/>
        <v>0</v>
      </c>
      <c r="X146" s="116"/>
      <c r="Y146" s="117">
        <f t="shared" si="44"/>
        <v>0</v>
      </c>
      <c r="Z146" s="12"/>
      <c r="AA146" s="12">
        <f t="shared" si="35"/>
        <v>0</v>
      </c>
      <c r="AB146" s="12"/>
      <c r="AC146" s="12">
        <f t="shared" si="36"/>
        <v>0</v>
      </c>
      <c r="AD146" s="42"/>
      <c r="AE146" s="42"/>
    </row>
    <row r="147" spans="1:31" s="7" customFormat="1" ht="23.25">
      <c r="A147" s="42" t="s">
        <v>0</v>
      </c>
      <c r="B147" s="42" t="s">
        <v>1</v>
      </c>
      <c r="C147" s="45" t="s">
        <v>1222</v>
      </c>
      <c r="D147" s="45" t="s">
        <v>826</v>
      </c>
      <c r="E147" s="30" t="s">
        <v>908</v>
      </c>
      <c r="F147" s="47" t="s">
        <v>137</v>
      </c>
      <c r="G147" s="42"/>
      <c r="H147" s="42">
        <v>2</v>
      </c>
      <c r="I147" s="44">
        <v>60.5</v>
      </c>
      <c r="J147" s="44">
        <f t="shared" si="41"/>
        <v>260.5</v>
      </c>
      <c r="K147" s="42">
        <v>12000</v>
      </c>
      <c r="L147" s="12">
        <f t="shared" si="45"/>
        <v>3126000</v>
      </c>
      <c r="M147" s="42">
        <v>1</v>
      </c>
      <c r="N147" s="42" t="s">
        <v>302</v>
      </c>
      <c r="O147" s="101" t="s">
        <v>446</v>
      </c>
      <c r="P147" s="45" t="s">
        <v>137</v>
      </c>
      <c r="Q147" s="100">
        <v>48</v>
      </c>
      <c r="R147" s="103">
        <f>+Q147*100/(Q147+Q148)</f>
        <v>25</v>
      </c>
      <c r="S147" s="42">
        <v>7550</v>
      </c>
      <c r="T147" s="12">
        <f t="shared" si="42"/>
        <v>362400</v>
      </c>
      <c r="U147" s="102" t="s">
        <v>84</v>
      </c>
      <c r="V147" s="12">
        <f>+T147*0.2</f>
        <v>72480</v>
      </c>
      <c r="W147" s="12">
        <f t="shared" si="43"/>
        <v>289920</v>
      </c>
      <c r="X147" s="116"/>
      <c r="Y147" s="117">
        <f>+L147*(R147/100)+W147</f>
        <v>1071420</v>
      </c>
      <c r="Z147" s="12">
        <f>+Y147</f>
        <v>1071420</v>
      </c>
      <c r="AA147" s="12">
        <f t="shared" si="35"/>
        <v>0</v>
      </c>
      <c r="AB147" s="12"/>
      <c r="AC147" s="12">
        <f t="shared" si="36"/>
        <v>0</v>
      </c>
      <c r="AD147" s="31" t="s">
        <v>906</v>
      </c>
      <c r="AE147" s="42"/>
    </row>
    <row r="148" spans="1:31" s="7" customFormat="1" ht="23.25">
      <c r="A148" s="42" t="s">
        <v>0</v>
      </c>
      <c r="B148" s="42"/>
      <c r="C148" s="45"/>
      <c r="D148" s="45"/>
      <c r="E148" s="45"/>
      <c r="F148" s="47"/>
      <c r="G148" s="42"/>
      <c r="H148" s="42"/>
      <c r="I148" s="44"/>
      <c r="J148" s="44">
        <f t="shared" si="41"/>
        <v>0</v>
      </c>
      <c r="K148" s="42"/>
      <c r="L148" s="12">
        <f t="shared" si="45"/>
        <v>0</v>
      </c>
      <c r="M148" s="42">
        <v>2</v>
      </c>
      <c r="N148" s="42" t="s">
        <v>159</v>
      </c>
      <c r="O148" s="101" t="s">
        <v>446</v>
      </c>
      <c r="P148" s="45">
        <v>2</v>
      </c>
      <c r="Q148" s="100">
        <f>48*3</f>
        <v>144</v>
      </c>
      <c r="R148" s="103">
        <f>+Q148*100/(Q147+Q148)</f>
        <v>75</v>
      </c>
      <c r="S148" s="42">
        <v>7550</v>
      </c>
      <c r="T148" s="12">
        <f t="shared" si="42"/>
        <v>1087200</v>
      </c>
      <c r="U148" s="102" t="s">
        <v>84</v>
      </c>
      <c r="V148" s="12">
        <f>+T148*0.2</f>
        <v>217440</v>
      </c>
      <c r="W148" s="12">
        <f t="shared" si="43"/>
        <v>869760</v>
      </c>
      <c r="X148" s="116"/>
      <c r="Y148" s="117">
        <f>+L147*(R148/100)+W148</f>
        <v>3214260</v>
      </c>
      <c r="Z148" s="12"/>
      <c r="AA148" s="12">
        <f t="shared" si="35"/>
        <v>3214260</v>
      </c>
      <c r="AB148" s="12">
        <v>0.02</v>
      </c>
      <c r="AC148" s="12">
        <f t="shared" si="36"/>
        <v>642.8520000000001</v>
      </c>
      <c r="AD148" s="42"/>
      <c r="AE148" s="42"/>
    </row>
    <row r="149" spans="1:31" s="7" customFormat="1" ht="23.25">
      <c r="A149" s="42"/>
      <c r="B149" s="42"/>
      <c r="C149" s="45"/>
      <c r="D149" s="45"/>
      <c r="E149" s="45"/>
      <c r="F149" s="47"/>
      <c r="G149" s="42"/>
      <c r="H149" s="42"/>
      <c r="I149" s="44"/>
      <c r="J149" s="44">
        <f t="shared" si="41"/>
        <v>0</v>
      </c>
      <c r="K149" s="42"/>
      <c r="L149" s="42">
        <f t="shared" si="45"/>
        <v>0</v>
      </c>
      <c r="M149" s="42"/>
      <c r="N149" s="42"/>
      <c r="O149" s="42"/>
      <c r="P149" s="45"/>
      <c r="Q149" s="42"/>
      <c r="R149" s="42"/>
      <c r="S149" s="42"/>
      <c r="T149" s="12">
        <f t="shared" si="42"/>
        <v>0</v>
      </c>
      <c r="U149" s="45"/>
      <c r="V149" s="12">
        <f aca="true" t="shared" si="46" ref="V149:V154">+T149*0</f>
        <v>0</v>
      </c>
      <c r="W149" s="12">
        <f t="shared" si="43"/>
        <v>0</v>
      </c>
      <c r="X149" s="116"/>
      <c r="Y149" s="117">
        <f t="shared" si="44"/>
        <v>0</v>
      </c>
      <c r="Z149" s="12"/>
      <c r="AA149" s="12">
        <f t="shared" si="35"/>
        <v>0</v>
      </c>
      <c r="AB149" s="12"/>
      <c r="AC149" s="12">
        <f t="shared" si="36"/>
        <v>0</v>
      </c>
      <c r="AD149" s="42"/>
      <c r="AE149" s="42"/>
    </row>
    <row r="150" spans="1:31" s="7" customFormat="1" ht="23.25">
      <c r="A150" s="42" t="s">
        <v>0</v>
      </c>
      <c r="B150" s="42" t="s">
        <v>1</v>
      </c>
      <c r="C150" s="45" t="s">
        <v>1223</v>
      </c>
      <c r="D150" s="45" t="s">
        <v>827</v>
      </c>
      <c r="E150" s="29" t="s">
        <v>907</v>
      </c>
      <c r="F150" s="47" t="s">
        <v>140</v>
      </c>
      <c r="G150" s="42">
        <v>1</v>
      </c>
      <c r="H150" s="42"/>
      <c r="I150" s="44">
        <v>16.2</v>
      </c>
      <c r="J150" s="44">
        <f t="shared" si="41"/>
        <v>416.2</v>
      </c>
      <c r="K150" s="42">
        <v>7000</v>
      </c>
      <c r="L150" s="12">
        <f t="shared" si="45"/>
        <v>2913400</v>
      </c>
      <c r="M150" s="42"/>
      <c r="N150" s="42"/>
      <c r="O150" s="100"/>
      <c r="P150" s="45"/>
      <c r="Q150" s="100"/>
      <c r="R150" s="100"/>
      <c r="S150" s="42"/>
      <c r="T150" s="12">
        <f t="shared" si="42"/>
        <v>0</v>
      </c>
      <c r="U150" s="45"/>
      <c r="V150" s="12">
        <f t="shared" si="46"/>
        <v>0</v>
      </c>
      <c r="W150" s="12">
        <f t="shared" si="43"/>
        <v>0</v>
      </c>
      <c r="X150" s="116"/>
      <c r="Y150" s="117">
        <f t="shared" si="44"/>
        <v>2913400</v>
      </c>
      <c r="Z150" s="12"/>
      <c r="AA150" s="12">
        <f t="shared" si="35"/>
        <v>2913400</v>
      </c>
      <c r="AB150" s="12">
        <v>0.3</v>
      </c>
      <c r="AC150" s="12">
        <f t="shared" si="36"/>
        <v>8740.2</v>
      </c>
      <c r="AD150" s="42"/>
      <c r="AE150" s="12"/>
    </row>
    <row r="151" spans="1:31" s="7" customFormat="1" ht="23.25">
      <c r="A151" s="42"/>
      <c r="B151" s="42"/>
      <c r="C151" s="45"/>
      <c r="D151" s="45"/>
      <c r="E151" s="45"/>
      <c r="F151" s="47"/>
      <c r="G151" s="42"/>
      <c r="H151" s="42"/>
      <c r="I151" s="44"/>
      <c r="J151" s="44">
        <f t="shared" si="41"/>
        <v>0</v>
      </c>
      <c r="K151" s="42"/>
      <c r="L151" s="42">
        <f t="shared" si="45"/>
        <v>0</v>
      </c>
      <c r="M151" s="42"/>
      <c r="N151" s="5"/>
      <c r="O151" s="6"/>
      <c r="P151" s="13"/>
      <c r="Q151" s="6"/>
      <c r="R151" s="6"/>
      <c r="S151" s="5"/>
      <c r="T151" s="12">
        <f t="shared" si="42"/>
        <v>0</v>
      </c>
      <c r="U151" s="45"/>
      <c r="V151" s="12">
        <f t="shared" si="46"/>
        <v>0</v>
      </c>
      <c r="W151" s="12">
        <f t="shared" si="43"/>
        <v>0</v>
      </c>
      <c r="X151" s="116"/>
      <c r="Y151" s="117">
        <f t="shared" si="44"/>
        <v>0</v>
      </c>
      <c r="Z151" s="12"/>
      <c r="AA151" s="12">
        <f t="shared" si="35"/>
        <v>0</v>
      </c>
      <c r="AB151" s="12"/>
      <c r="AC151" s="12">
        <f t="shared" si="36"/>
        <v>0</v>
      </c>
      <c r="AD151" s="42"/>
      <c r="AE151" s="42"/>
    </row>
    <row r="152" spans="1:31" s="7" customFormat="1" ht="23.25">
      <c r="A152" s="42"/>
      <c r="B152" s="42"/>
      <c r="C152" s="45"/>
      <c r="D152" s="45"/>
      <c r="E152" s="45"/>
      <c r="F152" s="47"/>
      <c r="G152" s="42"/>
      <c r="H152" s="42"/>
      <c r="I152" s="44"/>
      <c r="J152" s="44">
        <f t="shared" si="41"/>
        <v>0</v>
      </c>
      <c r="K152" s="42"/>
      <c r="L152" s="42">
        <f t="shared" si="45"/>
        <v>0</v>
      </c>
      <c r="M152" s="42"/>
      <c r="N152" s="42"/>
      <c r="O152" s="42"/>
      <c r="P152" s="45"/>
      <c r="Q152" s="42"/>
      <c r="R152" s="42"/>
      <c r="S152" s="42"/>
      <c r="T152" s="12">
        <f t="shared" si="42"/>
        <v>0</v>
      </c>
      <c r="U152" s="45"/>
      <c r="V152" s="12">
        <f t="shared" si="46"/>
        <v>0</v>
      </c>
      <c r="W152" s="12">
        <f t="shared" si="43"/>
        <v>0</v>
      </c>
      <c r="X152" s="116"/>
      <c r="Y152" s="117">
        <f t="shared" si="44"/>
        <v>0</v>
      </c>
      <c r="Z152" s="12"/>
      <c r="AA152" s="12">
        <f t="shared" si="35"/>
        <v>0</v>
      </c>
      <c r="AB152" s="12"/>
      <c r="AC152" s="12">
        <f t="shared" si="36"/>
        <v>0</v>
      </c>
      <c r="AD152" s="42"/>
      <c r="AE152" s="42"/>
    </row>
    <row r="153" spans="1:31" s="7" customFormat="1" ht="23.25">
      <c r="A153" s="42" t="s">
        <v>0</v>
      </c>
      <c r="B153" s="42" t="s">
        <v>1</v>
      </c>
      <c r="C153" s="45" t="s">
        <v>1224</v>
      </c>
      <c r="D153" s="45" t="s">
        <v>828</v>
      </c>
      <c r="E153" s="10" t="s">
        <v>909</v>
      </c>
      <c r="F153" s="47" t="s">
        <v>177</v>
      </c>
      <c r="G153" s="42"/>
      <c r="H153" s="42"/>
      <c r="I153" s="44">
        <v>48.5</v>
      </c>
      <c r="J153" s="44">
        <f t="shared" si="41"/>
        <v>48.5</v>
      </c>
      <c r="K153" s="42">
        <v>4000</v>
      </c>
      <c r="L153" s="12">
        <f t="shared" si="45"/>
        <v>194000</v>
      </c>
      <c r="M153" s="42"/>
      <c r="N153" s="42"/>
      <c r="O153" s="100"/>
      <c r="P153" s="45"/>
      <c r="Q153" s="100"/>
      <c r="R153" s="100"/>
      <c r="S153" s="42"/>
      <c r="T153" s="12">
        <f t="shared" si="42"/>
        <v>0</v>
      </c>
      <c r="U153" s="45"/>
      <c r="V153" s="12">
        <f t="shared" si="46"/>
        <v>0</v>
      </c>
      <c r="W153" s="12">
        <f t="shared" si="43"/>
        <v>0</v>
      </c>
      <c r="X153" s="116"/>
      <c r="Y153" s="117">
        <f t="shared" si="44"/>
        <v>194000</v>
      </c>
      <c r="Z153" s="12">
        <f aca="true" t="shared" si="47" ref="Z153:Z158">+Y153</f>
        <v>194000</v>
      </c>
      <c r="AA153" s="12">
        <f t="shared" si="35"/>
        <v>0</v>
      </c>
      <c r="AB153" s="12"/>
      <c r="AC153" s="12">
        <f t="shared" si="36"/>
        <v>0</v>
      </c>
      <c r="AD153" s="42"/>
      <c r="AE153" s="42"/>
    </row>
    <row r="154" spans="1:31" s="7" customFormat="1" ht="23.25">
      <c r="A154" s="42" t="s">
        <v>0</v>
      </c>
      <c r="B154" s="42" t="s">
        <v>1</v>
      </c>
      <c r="C154" s="45" t="s">
        <v>1225</v>
      </c>
      <c r="D154" s="45" t="s">
        <v>829</v>
      </c>
      <c r="E154" s="10" t="s">
        <v>909</v>
      </c>
      <c r="F154" s="47" t="s">
        <v>177</v>
      </c>
      <c r="G154" s="42"/>
      <c r="H154" s="42">
        <v>1</v>
      </c>
      <c r="I154" s="44">
        <v>85</v>
      </c>
      <c r="J154" s="44">
        <f t="shared" si="41"/>
        <v>185</v>
      </c>
      <c r="K154" s="42">
        <v>6000</v>
      </c>
      <c r="L154" s="12">
        <f t="shared" si="45"/>
        <v>1110000</v>
      </c>
      <c r="M154" s="42"/>
      <c r="N154" s="42"/>
      <c r="O154" s="100"/>
      <c r="P154" s="45"/>
      <c r="Q154" s="100"/>
      <c r="R154" s="100"/>
      <c r="S154" s="42"/>
      <c r="T154" s="12">
        <f t="shared" si="42"/>
        <v>0</v>
      </c>
      <c r="U154" s="45"/>
      <c r="V154" s="12">
        <f t="shared" si="46"/>
        <v>0</v>
      </c>
      <c r="W154" s="12">
        <f t="shared" si="43"/>
        <v>0</v>
      </c>
      <c r="X154" s="116"/>
      <c r="Y154" s="117">
        <f t="shared" si="44"/>
        <v>1110000</v>
      </c>
      <c r="Z154" s="12">
        <f t="shared" si="47"/>
        <v>1110000</v>
      </c>
      <c r="AA154" s="12">
        <f t="shared" si="35"/>
        <v>0</v>
      </c>
      <c r="AB154" s="12"/>
      <c r="AC154" s="12">
        <f t="shared" si="36"/>
        <v>0</v>
      </c>
      <c r="AD154" s="42"/>
      <c r="AE154" s="42"/>
    </row>
    <row r="155" spans="1:31" s="7" customFormat="1" ht="23.25">
      <c r="A155" s="42" t="s">
        <v>0</v>
      </c>
      <c r="B155" s="42" t="s">
        <v>1</v>
      </c>
      <c r="C155" s="45" t="s">
        <v>1226</v>
      </c>
      <c r="D155" s="45" t="s">
        <v>830</v>
      </c>
      <c r="E155" s="10" t="s">
        <v>909</v>
      </c>
      <c r="F155" s="47" t="s">
        <v>137</v>
      </c>
      <c r="G155" s="42">
        <v>1</v>
      </c>
      <c r="H155" s="42">
        <v>3</v>
      </c>
      <c r="I155" s="44">
        <v>94.9</v>
      </c>
      <c r="J155" s="44">
        <f t="shared" si="41"/>
        <v>794.9</v>
      </c>
      <c r="K155" s="42">
        <v>11000</v>
      </c>
      <c r="L155" s="12">
        <f t="shared" si="45"/>
        <v>8743900</v>
      </c>
      <c r="M155" s="42"/>
      <c r="N155" s="42" t="s">
        <v>64</v>
      </c>
      <c r="O155" s="101" t="s">
        <v>446</v>
      </c>
      <c r="P155" s="45" t="s">
        <v>137</v>
      </c>
      <c r="Q155" s="100">
        <v>72</v>
      </c>
      <c r="R155" s="100"/>
      <c r="S155" s="42">
        <v>6550</v>
      </c>
      <c r="T155" s="12">
        <f t="shared" si="42"/>
        <v>471600</v>
      </c>
      <c r="U155" s="102" t="s">
        <v>84</v>
      </c>
      <c r="V155" s="12">
        <f>+T155*0.2</f>
        <v>94320</v>
      </c>
      <c r="W155" s="12">
        <f t="shared" si="43"/>
        <v>377280</v>
      </c>
      <c r="X155" s="116"/>
      <c r="Y155" s="117">
        <f t="shared" si="44"/>
        <v>9121180</v>
      </c>
      <c r="Z155" s="12">
        <f t="shared" si="47"/>
        <v>9121180</v>
      </c>
      <c r="AA155" s="12">
        <f t="shared" si="35"/>
        <v>0</v>
      </c>
      <c r="AB155" s="12"/>
      <c r="AC155" s="12">
        <f t="shared" si="36"/>
        <v>0</v>
      </c>
      <c r="AD155" s="31" t="s">
        <v>906</v>
      </c>
      <c r="AE155" s="42"/>
    </row>
    <row r="156" spans="1:31" s="7" customFormat="1" ht="23.25">
      <c r="A156" s="42" t="s">
        <v>0</v>
      </c>
      <c r="B156" s="42" t="s">
        <v>1</v>
      </c>
      <c r="C156" s="45" t="s">
        <v>1227</v>
      </c>
      <c r="D156" s="45" t="s">
        <v>831</v>
      </c>
      <c r="E156" s="10" t="s">
        <v>909</v>
      </c>
      <c r="F156" s="47" t="s">
        <v>177</v>
      </c>
      <c r="G156" s="42"/>
      <c r="H156" s="42">
        <v>1</v>
      </c>
      <c r="I156" s="44">
        <v>27.3</v>
      </c>
      <c r="J156" s="44">
        <f t="shared" si="41"/>
        <v>127.3</v>
      </c>
      <c r="K156" s="42">
        <v>8000</v>
      </c>
      <c r="L156" s="12">
        <f t="shared" si="45"/>
        <v>1018400</v>
      </c>
      <c r="M156" s="42"/>
      <c r="N156" s="42"/>
      <c r="O156" s="42"/>
      <c r="P156" s="45"/>
      <c r="Q156" s="42"/>
      <c r="R156" s="42"/>
      <c r="S156" s="42"/>
      <c r="T156" s="12">
        <f t="shared" si="42"/>
        <v>0</v>
      </c>
      <c r="U156" s="45"/>
      <c r="V156" s="12">
        <f>+T156*0</f>
        <v>0</v>
      </c>
      <c r="W156" s="12">
        <f t="shared" si="43"/>
        <v>0</v>
      </c>
      <c r="X156" s="116"/>
      <c r="Y156" s="117">
        <f t="shared" si="44"/>
        <v>1018400</v>
      </c>
      <c r="Z156" s="12">
        <f t="shared" si="47"/>
        <v>1018400</v>
      </c>
      <c r="AA156" s="12">
        <f t="shared" si="35"/>
        <v>0</v>
      </c>
      <c r="AB156" s="12"/>
      <c r="AC156" s="12">
        <f t="shared" si="36"/>
        <v>0</v>
      </c>
      <c r="AD156" s="42"/>
      <c r="AE156" s="42"/>
    </row>
    <row r="157" spans="1:31" s="7" customFormat="1" ht="23.25">
      <c r="A157" s="42" t="s">
        <v>0</v>
      </c>
      <c r="B157" s="42" t="s">
        <v>1</v>
      </c>
      <c r="C157" s="45" t="s">
        <v>1228</v>
      </c>
      <c r="D157" s="51" t="s">
        <v>832</v>
      </c>
      <c r="E157" s="10" t="s">
        <v>909</v>
      </c>
      <c r="F157" s="47" t="s">
        <v>177</v>
      </c>
      <c r="G157" s="42"/>
      <c r="H157" s="42">
        <v>1</v>
      </c>
      <c r="I157" s="44">
        <v>21.9</v>
      </c>
      <c r="J157" s="44">
        <f t="shared" si="41"/>
        <v>121.9</v>
      </c>
      <c r="K157" s="42">
        <v>8000</v>
      </c>
      <c r="L157" s="12">
        <f>+K157*J157</f>
        <v>975200</v>
      </c>
      <c r="M157" s="42"/>
      <c r="N157" s="42"/>
      <c r="O157" s="100"/>
      <c r="P157" s="45"/>
      <c r="Q157" s="100"/>
      <c r="R157" s="100"/>
      <c r="S157" s="42"/>
      <c r="T157" s="12">
        <f t="shared" si="42"/>
        <v>0</v>
      </c>
      <c r="U157" s="45"/>
      <c r="V157" s="12">
        <f>+T157*0</f>
        <v>0</v>
      </c>
      <c r="W157" s="12">
        <f t="shared" si="43"/>
        <v>0</v>
      </c>
      <c r="X157" s="116"/>
      <c r="Y157" s="117">
        <f t="shared" si="44"/>
        <v>975200</v>
      </c>
      <c r="Z157" s="12">
        <f t="shared" si="47"/>
        <v>975200</v>
      </c>
      <c r="AA157" s="12">
        <f>+Y157-Z157</f>
        <v>0</v>
      </c>
      <c r="AB157" s="12"/>
      <c r="AC157" s="12">
        <f>+AA157*AB157/100</f>
        <v>0</v>
      </c>
      <c r="AD157" s="42"/>
      <c r="AE157" s="42"/>
    </row>
    <row r="158" spans="1:31" s="7" customFormat="1" ht="23.25">
      <c r="A158" s="42" t="s">
        <v>0</v>
      </c>
      <c r="B158" s="42" t="s">
        <v>1</v>
      </c>
      <c r="C158" s="45" t="s">
        <v>1229</v>
      </c>
      <c r="D158" s="45" t="s">
        <v>833</v>
      </c>
      <c r="E158" s="29" t="s">
        <v>907</v>
      </c>
      <c r="F158" s="47" t="s">
        <v>177</v>
      </c>
      <c r="G158" s="42">
        <v>16</v>
      </c>
      <c r="H158" s="42">
        <v>1</v>
      </c>
      <c r="I158" s="44">
        <v>16.69</v>
      </c>
      <c r="J158" s="44">
        <f t="shared" si="41"/>
        <v>6516.69</v>
      </c>
      <c r="K158" s="42">
        <v>3000</v>
      </c>
      <c r="L158" s="12">
        <f t="shared" si="45"/>
        <v>19550070</v>
      </c>
      <c r="M158" s="42"/>
      <c r="N158" s="42"/>
      <c r="O158" s="100"/>
      <c r="P158" s="45"/>
      <c r="Q158" s="100"/>
      <c r="R158" s="100"/>
      <c r="S158" s="42"/>
      <c r="T158" s="12">
        <f t="shared" si="42"/>
        <v>0</v>
      </c>
      <c r="U158" s="45"/>
      <c r="V158" s="12">
        <f>+T158*0</f>
        <v>0</v>
      </c>
      <c r="W158" s="12">
        <f t="shared" si="43"/>
        <v>0</v>
      </c>
      <c r="X158" s="116"/>
      <c r="Y158" s="117">
        <f aca="true" t="shared" si="48" ref="Y158:Y180">+L158+W158</f>
        <v>19550070</v>
      </c>
      <c r="Z158" s="12">
        <f t="shared" si="47"/>
        <v>19550070</v>
      </c>
      <c r="AA158" s="12">
        <f aca="true" t="shared" si="49" ref="AA158:AA218">+Y158-Z158</f>
        <v>0</v>
      </c>
      <c r="AB158" s="12"/>
      <c r="AC158" s="12">
        <f aca="true" t="shared" si="50" ref="AC158:AC218">+AA158*AB158/100</f>
        <v>0</v>
      </c>
      <c r="AD158" s="42"/>
      <c r="AE158" s="42"/>
    </row>
    <row r="159" spans="1:31" s="7" customFormat="1" ht="23.25">
      <c r="A159" s="42"/>
      <c r="B159" s="42"/>
      <c r="C159" s="45"/>
      <c r="D159" s="45"/>
      <c r="E159" s="45"/>
      <c r="F159" s="47"/>
      <c r="G159" s="42"/>
      <c r="H159" s="42"/>
      <c r="I159" s="44"/>
      <c r="J159" s="44">
        <f t="shared" si="41"/>
        <v>0</v>
      </c>
      <c r="K159" s="42"/>
      <c r="L159" s="42">
        <f t="shared" si="45"/>
        <v>0</v>
      </c>
      <c r="M159" s="42"/>
      <c r="N159" s="42"/>
      <c r="O159" s="42"/>
      <c r="P159" s="45"/>
      <c r="Q159" s="42"/>
      <c r="R159" s="42"/>
      <c r="S159" s="42"/>
      <c r="T159" s="12">
        <f t="shared" si="42"/>
        <v>0</v>
      </c>
      <c r="U159" s="45"/>
      <c r="V159" s="12">
        <f>+T159*0</f>
        <v>0</v>
      </c>
      <c r="W159" s="12">
        <f t="shared" si="43"/>
        <v>0</v>
      </c>
      <c r="X159" s="116"/>
      <c r="Y159" s="117">
        <f t="shared" si="48"/>
        <v>0</v>
      </c>
      <c r="Z159" s="12"/>
      <c r="AA159" s="12">
        <f t="shared" si="49"/>
        <v>0</v>
      </c>
      <c r="AB159" s="12"/>
      <c r="AC159" s="12">
        <f t="shared" si="50"/>
        <v>0</v>
      </c>
      <c r="AD159" s="42"/>
      <c r="AE159" s="42"/>
    </row>
    <row r="160" spans="1:31" s="7" customFormat="1" ht="23.25">
      <c r="A160" s="42"/>
      <c r="B160" s="42"/>
      <c r="C160" s="45"/>
      <c r="D160" s="45"/>
      <c r="E160" s="45"/>
      <c r="F160" s="47"/>
      <c r="G160" s="42"/>
      <c r="H160" s="42"/>
      <c r="I160" s="44"/>
      <c r="J160" s="44">
        <f t="shared" si="41"/>
        <v>0</v>
      </c>
      <c r="K160" s="42"/>
      <c r="L160" s="42">
        <f t="shared" si="45"/>
        <v>0</v>
      </c>
      <c r="M160" s="42"/>
      <c r="N160" s="42"/>
      <c r="O160" s="42"/>
      <c r="P160" s="45"/>
      <c r="Q160" s="42"/>
      <c r="R160" s="42"/>
      <c r="S160" s="42"/>
      <c r="T160" s="12">
        <f t="shared" si="42"/>
        <v>0</v>
      </c>
      <c r="U160" s="45"/>
      <c r="V160" s="12">
        <f>+T160*0</f>
        <v>0</v>
      </c>
      <c r="W160" s="12">
        <f t="shared" si="43"/>
        <v>0</v>
      </c>
      <c r="X160" s="116"/>
      <c r="Y160" s="117">
        <f t="shared" si="48"/>
        <v>0</v>
      </c>
      <c r="Z160" s="12"/>
      <c r="AA160" s="12">
        <f t="shared" si="49"/>
        <v>0</v>
      </c>
      <c r="AB160" s="12"/>
      <c r="AC160" s="12">
        <f t="shared" si="50"/>
        <v>0</v>
      </c>
      <c r="AD160" s="42"/>
      <c r="AE160" s="42"/>
    </row>
    <row r="161" spans="1:31" s="7" customFormat="1" ht="23.25">
      <c r="A161" s="42" t="s">
        <v>0</v>
      </c>
      <c r="B161" s="42" t="s">
        <v>1</v>
      </c>
      <c r="C161" s="45" t="s">
        <v>1230</v>
      </c>
      <c r="D161" s="45" t="s">
        <v>834</v>
      </c>
      <c r="E161" s="30" t="s">
        <v>908</v>
      </c>
      <c r="F161" s="47" t="s">
        <v>137</v>
      </c>
      <c r="G161" s="42"/>
      <c r="H161" s="42"/>
      <c r="I161" s="44">
        <v>13.5</v>
      </c>
      <c r="J161" s="44">
        <f t="shared" si="41"/>
        <v>13.5</v>
      </c>
      <c r="K161" s="42">
        <v>15000</v>
      </c>
      <c r="L161" s="12">
        <f t="shared" si="45"/>
        <v>202500</v>
      </c>
      <c r="M161" s="42"/>
      <c r="N161" s="42" t="s">
        <v>60</v>
      </c>
      <c r="O161" s="101" t="s">
        <v>446</v>
      </c>
      <c r="P161" s="45">
        <v>2</v>
      </c>
      <c r="Q161" s="100">
        <v>96</v>
      </c>
      <c r="R161" s="100"/>
      <c r="S161" s="42">
        <v>7550</v>
      </c>
      <c r="T161" s="12">
        <f t="shared" si="42"/>
        <v>724800</v>
      </c>
      <c r="U161" s="102" t="s">
        <v>83</v>
      </c>
      <c r="V161" s="12">
        <f>+T161*0.18</f>
        <v>130464</v>
      </c>
      <c r="W161" s="12">
        <f t="shared" si="43"/>
        <v>594336</v>
      </c>
      <c r="X161" s="116"/>
      <c r="Y161" s="117">
        <f t="shared" si="48"/>
        <v>796836</v>
      </c>
      <c r="Z161" s="12"/>
      <c r="AA161" s="12">
        <f t="shared" si="49"/>
        <v>796836</v>
      </c>
      <c r="AB161" s="12">
        <v>0.02</v>
      </c>
      <c r="AC161" s="12">
        <f t="shared" si="50"/>
        <v>159.36720000000003</v>
      </c>
      <c r="AD161" s="42"/>
      <c r="AE161" s="42"/>
    </row>
    <row r="162" spans="1:31" s="7" customFormat="1" ht="23.25">
      <c r="A162" s="42" t="s">
        <v>0</v>
      </c>
      <c r="B162" s="42" t="s">
        <v>1</v>
      </c>
      <c r="C162" s="45" t="s">
        <v>1231</v>
      </c>
      <c r="D162" s="45" t="s">
        <v>835</v>
      </c>
      <c r="E162" s="29" t="s">
        <v>907</v>
      </c>
      <c r="F162" s="47" t="s">
        <v>140</v>
      </c>
      <c r="G162" s="42"/>
      <c r="H162" s="42"/>
      <c r="I162" s="44">
        <v>49.3</v>
      </c>
      <c r="J162" s="44">
        <f t="shared" si="41"/>
        <v>49.3</v>
      </c>
      <c r="K162" s="42">
        <v>6000</v>
      </c>
      <c r="L162" s="12">
        <f t="shared" si="45"/>
        <v>295800</v>
      </c>
      <c r="M162" s="42"/>
      <c r="N162" s="42"/>
      <c r="O162" s="100"/>
      <c r="P162" s="45"/>
      <c r="Q162" s="100"/>
      <c r="R162" s="100"/>
      <c r="S162" s="42"/>
      <c r="T162" s="12">
        <f t="shared" si="42"/>
        <v>0</v>
      </c>
      <c r="U162" s="45"/>
      <c r="V162" s="12">
        <f aca="true" t="shared" si="51" ref="V162:V168">+T162*0</f>
        <v>0</v>
      </c>
      <c r="W162" s="12">
        <f t="shared" si="43"/>
        <v>0</v>
      </c>
      <c r="X162" s="116"/>
      <c r="Y162" s="117">
        <f t="shared" si="48"/>
        <v>295800</v>
      </c>
      <c r="Z162" s="12"/>
      <c r="AA162" s="12">
        <f t="shared" si="49"/>
        <v>295800</v>
      </c>
      <c r="AB162" s="12">
        <v>0.3</v>
      </c>
      <c r="AC162" s="12">
        <f t="shared" si="50"/>
        <v>887.4</v>
      </c>
      <c r="AD162" s="42"/>
      <c r="AE162" s="42"/>
    </row>
    <row r="163" spans="1:31" s="7" customFormat="1" ht="23.25">
      <c r="A163" s="42" t="s">
        <v>0</v>
      </c>
      <c r="B163" s="42" t="s">
        <v>1</v>
      </c>
      <c r="C163" s="45" t="s">
        <v>1232</v>
      </c>
      <c r="D163" s="45" t="s">
        <v>836</v>
      </c>
      <c r="E163" s="29" t="s">
        <v>907</v>
      </c>
      <c r="F163" s="47" t="s">
        <v>140</v>
      </c>
      <c r="G163" s="42"/>
      <c r="H163" s="42"/>
      <c r="I163" s="44">
        <v>49.3</v>
      </c>
      <c r="J163" s="44">
        <f t="shared" si="41"/>
        <v>49.3</v>
      </c>
      <c r="K163" s="42">
        <v>6000</v>
      </c>
      <c r="L163" s="12">
        <f t="shared" si="45"/>
        <v>295800</v>
      </c>
      <c r="M163" s="42"/>
      <c r="N163" s="42"/>
      <c r="O163" s="100"/>
      <c r="P163" s="45"/>
      <c r="Q163" s="100"/>
      <c r="R163" s="100"/>
      <c r="S163" s="42"/>
      <c r="T163" s="12">
        <f t="shared" si="42"/>
        <v>0</v>
      </c>
      <c r="U163" s="45"/>
      <c r="V163" s="12">
        <f t="shared" si="51"/>
        <v>0</v>
      </c>
      <c r="W163" s="12">
        <f t="shared" si="43"/>
        <v>0</v>
      </c>
      <c r="X163" s="116"/>
      <c r="Y163" s="117">
        <f t="shared" si="48"/>
        <v>295800</v>
      </c>
      <c r="Z163" s="12"/>
      <c r="AA163" s="12">
        <f t="shared" si="49"/>
        <v>295800</v>
      </c>
      <c r="AB163" s="12">
        <v>0.3</v>
      </c>
      <c r="AC163" s="12">
        <f t="shared" si="50"/>
        <v>887.4</v>
      </c>
      <c r="AD163" s="42"/>
      <c r="AE163" s="42"/>
    </row>
    <row r="164" spans="1:31" s="7" customFormat="1" ht="23.25">
      <c r="A164" s="42"/>
      <c r="B164" s="42"/>
      <c r="C164" s="45"/>
      <c r="D164" s="45"/>
      <c r="E164" s="45"/>
      <c r="F164" s="47"/>
      <c r="G164" s="42"/>
      <c r="H164" s="42"/>
      <c r="I164" s="44"/>
      <c r="J164" s="44">
        <f t="shared" si="41"/>
        <v>0</v>
      </c>
      <c r="K164" s="42"/>
      <c r="L164" s="42">
        <f t="shared" si="45"/>
        <v>0</v>
      </c>
      <c r="M164" s="42"/>
      <c r="N164" s="42"/>
      <c r="O164" s="42"/>
      <c r="P164" s="45"/>
      <c r="Q164" s="42"/>
      <c r="R164" s="42"/>
      <c r="S164" s="42"/>
      <c r="T164" s="12">
        <f t="shared" si="42"/>
        <v>0</v>
      </c>
      <c r="U164" s="45"/>
      <c r="V164" s="12">
        <f t="shared" si="51"/>
        <v>0</v>
      </c>
      <c r="W164" s="12">
        <f t="shared" si="43"/>
        <v>0</v>
      </c>
      <c r="X164" s="116"/>
      <c r="Y164" s="117">
        <f t="shared" si="48"/>
        <v>0</v>
      </c>
      <c r="Z164" s="12"/>
      <c r="AA164" s="12">
        <f t="shared" si="49"/>
        <v>0</v>
      </c>
      <c r="AB164" s="12"/>
      <c r="AC164" s="12">
        <f t="shared" si="50"/>
        <v>0</v>
      </c>
      <c r="AD164" s="42"/>
      <c r="AE164" s="42"/>
    </row>
    <row r="165" spans="1:31" s="7" customFormat="1" ht="23.25">
      <c r="A165" s="42" t="s">
        <v>0</v>
      </c>
      <c r="B165" s="42" t="s">
        <v>1</v>
      </c>
      <c r="C165" s="45" t="s">
        <v>1233</v>
      </c>
      <c r="D165" s="45" t="s">
        <v>837</v>
      </c>
      <c r="E165" s="29" t="s">
        <v>907</v>
      </c>
      <c r="F165" s="47" t="s">
        <v>140</v>
      </c>
      <c r="G165" s="42"/>
      <c r="H165" s="42"/>
      <c r="I165" s="44">
        <v>56.5</v>
      </c>
      <c r="J165" s="44">
        <f t="shared" si="41"/>
        <v>56.5</v>
      </c>
      <c r="K165" s="42">
        <v>15000</v>
      </c>
      <c r="L165" s="12">
        <f t="shared" si="45"/>
        <v>847500</v>
      </c>
      <c r="M165" s="42"/>
      <c r="N165" s="42"/>
      <c r="O165" s="100"/>
      <c r="P165" s="45"/>
      <c r="Q165" s="100"/>
      <c r="R165" s="100"/>
      <c r="S165" s="42"/>
      <c r="T165" s="12">
        <f t="shared" si="42"/>
        <v>0</v>
      </c>
      <c r="U165" s="45"/>
      <c r="V165" s="12">
        <f t="shared" si="51"/>
        <v>0</v>
      </c>
      <c r="W165" s="12">
        <f t="shared" si="43"/>
        <v>0</v>
      </c>
      <c r="X165" s="116"/>
      <c r="Y165" s="117">
        <f t="shared" si="48"/>
        <v>847500</v>
      </c>
      <c r="Z165" s="12"/>
      <c r="AA165" s="12">
        <f t="shared" si="49"/>
        <v>847500</v>
      </c>
      <c r="AB165" s="12">
        <v>0.3</v>
      </c>
      <c r="AC165" s="12">
        <f t="shared" si="50"/>
        <v>2542.5</v>
      </c>
      <c r="AD165" s="42"/>
      <c r="AE165" s="12"/>
    </row>
    <row r="166" spans="1:31" s="7" customFormat="1" ht="23.25">
      <c r="A166" s="42"/>
      <c r="B166" s="42"/>
      <c r="C166" s="45"/>
      <c r="D166" s="45"/>
      <c r="E166" s="45"/>
      <c r="F166" s="47"/>
      <c r="G166" s="42"/>
      <c r="H166" s="42"/>
      <c r="I166" s="44"/>
      <c r="J166" s="44">
        <f t="shared" si="41"/>
        <v>0</v>
      </c>
      <c r="K166" s="42"/>
      <c r="L166" s="42">
        <f t="shared" si="45"/>
        <v>0</v>
      </c>
      <c r="M166" s="42"/>
      <c r="N166" s="42"/>
      <c r="O166" s="42"/>
      <c r="P166" s="45"/>
      <c r="Q166" s="42"/>
      <c r="R166" s="42"/>
      <c r="S166" s="42"/>
      <c r="T166" s="12">
        <f t="shared" si="42"/>
        <v>0</v>
      </c>
      <c r="U166" s="45"/>
      <c r="V166" s="12">
        <f t="shared" si="51"/>
        <v>0</v>
      </c>
      <c r="W166" s="12">
        <f t="shared" si="43"/>
        <v>0</v>
      </c>
      <c r="X166" s="116"/>
      <c r="Y166" s="117">
        <f t="shared" si="48"/>
        <v>0</v>
      </c>
      <c r="Z166" s="12"/>
      <c r="AA166" s="12">
        <f t="shared" si="49"/>
        <v>0</v>
      </c>
      <c r="AB166" s="12"/>
      <c r="AC166" s="12">
        <f t="shared" si="50"/>
        <v>0</v>
      </c>
      <c r="AD166" s="42"/>
      <c r="AE166" s="42"/>
    </row>
    <row r="167" spans="1:31" s="7" customFormat="1" ht="23.25">
      <c r="A167" s="42"/>
      <c r="B167" s="42"/>
      <c r="C167" s="45"/>
      <c r="D167" s="45"/>
      <c r="E167" s="45"/>
      <c r="F167" s="47"/>
      <c r="G167" s="42"/>
      <c r="H167" s="42"/>
      <c r="I167" s="44"/>
      <c r="J167" s="44">
        <f t="shared" si="41"/>
        <v>0</v>
      </c>
      <c r="K167" s="42"/>
      <c r="L167" s="42">
        <f t="shared" si="45"/>
        <v>0</v>
      </c>
      <c r="M167" s="42"/>
      <c r="N167" s="42"/>
      <c r="O167" s="42"/>
      <c r="P167" s="45"/>
      <c r="Q167" s="42"/>
      <c r="R167" s="42"/>
      <c r="S167" s="42"/>
      <c r="T167" s="12">
        <f t="shared" si="42"/>
        <v>0</v>
      </c>
      <c r="U167" s="45"/>
      <c r="V167" s="12">
        <f t="shared" si="51"/>
        <v>0</v>
      </c>
      <c r="W167" s="12">
        <f t="shared" si="43"/>
        <v>0</v>
      </c>
      <c r="X167" s="116"/>
      <c r="Y167" s="117">
        <f t="shared" si="48"/>
        <v>0</v>
      </c>
      <c r="Z167" s="12"/>
      <c r="AA167" s="12">
        <f t="shared" si="49"/>
        <v>0</v>
      </c>
      <c r="AB167" s="12"/>
      <c r="AC167" s="12">
        <f t="shared" si="50"/>
        <v>0</v>
      </c>
      <c r="AD167" s="42"/>
      <c r="AE167" s="42"/>
    </row>
    <row r="168" spans="1:31" s="7" customFormat="1" ht="23.25">
      <c r="A168" s="42" t="s">
        <v>0</v>
      </c>
      <c r="B168" s="42" t="s">
        <v>1</v>
      </c>
      <c r="C168" s="45" t="s">
        <v>1234</v>
      </c>
      <c r="D168" s="45" t="s">
        <v>838</v>
      </c>
      <c r="E168" s="29" t="s">
        <v>907</v>
      </c>
      <c r="F168" s="47" t="s">
        <v>177</v>
      </c>
      <c r="G168" s="42">
        <v>5</v>
      </c>
      <c r="H168" s="42">
        <v>2</v>
      </c>
      <c r="I168" s="44">
        <v>36.5</v>
      </c>
      <c r="J168" s="44">
        <f aca="true" t="shared" si="52" ref="J168:J183">+I168+(H168*100)+(G168*400)</f>
        <v>2236.5</v>
      </c>
      <c r="K168" s="42">
        <v>3900</v>
      </c>
      <c r="L168" s="12">
        <f t="shared" si="45"/>
        <v>8722350</v>
      </c>
      <c r="M168" s="42"/>
      <c r="N168" s="42"/>
      <c r="O168" s="100"/>
      <c r="P168" s="45"/>
      <c r="Q168" s="100"/>
      <c r="R168" s="100"/>
      <c r="S168" s="42"/>
      <c r="T168" s="12">
        <f aca="true" t="shared" si="53" ref="T168:T183">+Q168*S168</f>
        <v>0</v>
      </c>
      <c r="U168" s="45"/>
      <c r="V168" s="12">
        <f t="shared" si="51"/>
        <v>0</v>
      </c>
      <c r="W168" s="12">
        <f aca="true" t="shared" si="54" ref="W168:W183">+T168-V168</f>
        <v>0</v>
      </c>
      <c r="X168" s="116"/>
      <c r="Y168" s="117">
        <f t="shared" si="48"/>
        <v>8722350</v>
      </c>
      <c r="Z168" s="12">
        <f>+Y168</f>
        <v>8722350</v>
      </c>
      <c r="AA168" s="12">
        <f t="shared" si="49"/>
        <v>0</v>
      </c>
      <c r="AB168" s="12"/>
      <c r="AC168" s="12">
        <f t="shared" si="50"/>
        <v>0</v>
      </c>
      <c r="AD168" s="42"/>
      <c r="AE168" s="12" t="e">
        <f>+AC168*#REF!/#REF!</f>
        <v>#REF!</v>
      </c>
    </row>
    <row r="169" spans="1:31" s="7" customFormat="1" ht="23.25">
      <c r="A169" s="42" t="s">
        <v>0</v>
      </c>
      <c r="B169" s="42" t="s">
        <v>1</v>
      </c>
      <c r="C169" s="45" t="s">
        <v>1235</v>
      </c>
      <c r="D169" s="45" t="s">
        <v>839</v>
      </c>
      <c r="E169" s="29" t="s">
        <v>907</v>
      </c>
      <c r="F169" s="47" t="s">
        <v>137</v>
      </c>
      <c r="G169" s="42"/>
      <c r="H169" s="42"/>
      <c r="I169" s="44">
        <v>18</v>
      </c>
      <c r="J169" s="44">
        <f t="shared" si="52"/>
        <v>18</v>
      </c>
      <c r="K169" s="42">
        <v>15000</v>
      </c>
      <c r="L169" s="12">
        <f t="shared" si="45"/>
        <v>270000</v>
      </c>
      <c r="M169" s="42"/>
      <c r="N169" s="42" t="s">
        <v>60</v>
      </c>
      <c r="O169" s="101" t="s">
        <v>446</v>
      </c>
      <c r="P169" s="45">
        <v>2</v>
      </c>
      <c r="Q169" s="100">
        <v>88</v>
      </c>
      <c r="R169" s="100"/>
      <c r="S169" s="42">
        <v>7550</v>
      </c>
      <c r="T169" s="12">
        <f t="shared" si="53"/>
        <v>664400</v>
      </c>
      <c r="U169" s="102" t="s">
        <v>84</v>
      </c>
      <c r="V169" s="12">
        <f>+T169*0.2</f>
        <v>132880</v>
      </c>
      <c r="W169" s="12">
        <f t="shared" si="54"/>
        <v>531520</v>
      </c>
      <c r="X169" s="116"/>
      <c r="Y169" s="117">
        <f t="shared" si="48"/>
        <v>801520</v>
      </c>
      <c r="Z169" s="12"/>
      <c r="AA169" s="12">
        <f t="shared" si="49"/>
        <v>801520</v>
      </c>
      <c r="AB169" s="12">
        <v>0.02</v>
      </c>
      <c r="AC169" s="12">
        <f t="shared" si="50"/>
        <v>160.304</v>
      </c>
      <c r="AD169" s="42"/>
      <c r="AE169" s="12" t="e">
        <f>+AC169*#REF!/#REF!</f>
        <v>#REF!</v>
      </c>
    </row>
    <row r="170" spans="1:31" s="7" customFormat="1" ht="23.25">
      <c r="A170" s="42" t="s">
        <v>0</v>
      </c>
      <c r="B170" s="42" t="s">
        <v>1</v>
      </c>
      <c r="C170" s="45" t="s">
        <v>1236</v>
      </c>
      <c r="D170" s="45" t="s">
        <v>840</v>
      </c>
      <c r="E170" s="29" t="s">
        <v>907</v>
      </c>
      <c r="F170" s="47" t="s">
        <v>137</v>
      </c>
      <c r="G170" s="42"/>
      <c r="H170" s="42">
        <v>1</v>
      </c>
      <c r="I170" s="44">
        <v>26.9</v>
      </c>
      <c r="J170" s="44">
        <f t="shared" si="52"/>
        <v>126.9</v>
      </c>
      <c r="K170" s="42">
        <v>15000</v>
      </c>
      <c r="L170" s="12">
        <f t="shared" si="45"/>
        <v>1903500</v>
      </c>
      <c r="M170" s="42"/>
      <c r="N170" s="42" t="s">
        <v>64</v>
      </c>
      <c r="O170" s="101" t="s">
        <v>446</v>
      </c>
      <c r="P170" s="45">
        <v>2</v>
      </c>
      <c r="Q170" s="100">
        <v>224.9</v>
      </c>
      <c r="R170" s="100"/>
      <c r="S170" s="42">
        <v>6550</v>
      </c>
      <c r="T170" s="12">
        <f t="shared" si="53"/>
        <v>1473095</v>
      </c>
      <c r="U170" s="102" t="s">
        <v>84</v>
      </c>
      <c r="V170" s="12">
        <f>+T170*0.2</f>
        <v>294619</v>
      </c>
      <c r="W170" s="12">
        <f t="shared" si="54"/>
        <v>1178476</v>
      </c>
      <c r="X170" s="116"/>
      <c r="Y170" s="117">
        <f t="shared" si="48"/>
        <v>3081976</v>
      </c>
      <c r="Z170" s="12"/>
      <c r="AA170" s="12">
        <f t="shared" si="49"/>
        <v>3081976</v>
      </c>
      <c r="AB170" s="12">
        <v>0.02</v>
      </c>
      <c r="AC170" s="12">
        <f t="shared" si="50"/>
        <v>616.3952</v>
      </c>
      <c r="AD170" s="42"/>
      <c r="AE170" s="12" t="e">
        <f>+AC170*#REF!/#REF!</f>
        <v>#REF!</v>
      </c>
    </row>
    <row r="171" spans="1:31" s="7" customFormat="1" ht="23.25">
      <c r="A171" s="42" t="s">
        <v>0</v>
      </c>
      <c r="B171" s="42" t="s">
        <v>1</v>
      </c>
      <c r="C171" s="45" t="s">
        <v>1237</v>
      </c>
      <c r="D171" s="45" t="s">
        <v>841</v>
      </c>
      <c r="E171" s="29" t="s">
        <v>907</v>
      </c>
      <c r="F171" s="47" t="s">
        <v>177</v>
      </c>
      <c r="G171" s="42"/>
      <c r="H171" s="42">
        <v>1</v>
      </c>
      <c r="I171" s="44">
        <v>32.8</v>
      </c>
      <c r="J171" s="44">
        <f t="shared" si="52"/>
        <v>132.8</v>
      </c>
      <c r="K171" s="42">
        <v>12000</v>
      </c>
      <c r="L171" s="12">
        <f t="shared" si="45"/>
        <v>1593600.0000000002</v>
      </c>
      <c r="M171" s="42"/>
      <c r="N171" s="42"/>
      <c r="O171" s="42"/>
      <c r="P171" s="45"/>
      <c r="Q171" s="42"/>
      <c r="R171" s="42"/>
      <c r="S171" s="42"/>
      <c r="T171" s="12">
        <f t="shared" si="53"/>
        <v>0</v>
      </c>
      <c r="U171" s="45"/>
      <c r="V171" s="12">
        <f>+T171*0</f>
        <v>0</v>
      </c>
      <c r="W171" s="12">
        <f t="shared" si="54"/>
        <v>0</v>
      </c>
      <c r="X171" s="116"/>
      <c r="Y171" s="117">
        <f t="shared" si="48"/>
        <v>1593600.0000000002</v>
      </c>
      <c r="Z171" s="12">
        <f>+Y171</f>
        <v>1593600.0000000002</v>
      </c>
      <c r="AA171" s="12">
        <f t="shared" si="49"/>
        <v>0</v>
      </c>
      <c r="AB171" s="12"/>
      <c r="AC171" s="12">
        <f t="shared" si="50"/>
        <v>0</v>
      </c>
      <c r="AD171" s="42"/>
      <c r="AE171" s="12" t="e">
        <f>+AC171*#REF!/#REF!</f>
        <v>#REF!</v>
      </c>
    </row>
    <row r="172" spans="1:31" s="7" customFormat="1" ht="23.25">
      <c r="A172" s="42" t="s">
        <v>0</v>
      </c>
      <c r="B172" s="42" t="s">
        <v>1</v>
      </c>
      <c r="C172" s="45" t="s">
        <v>1238</v>
      </c>
      <c r="D172" s="45" t="s">
        <v>842</v>
      </c>
      <c r="E172" s="29" t="s">
        <v>907</v>
      </c>
      <c r="F172" s="47" t="s">
        <v>137</v>
      </c>
      <c r="G172" s="42"/>
      <c r="H172" s="42"/>
      <c r="I172" s="44">
        <v>44.9</v>
      </c>
      <c r="J172" s="44">
        <f t="shared" si="52"/>
        <v>44.9</v>
      </c>
      <c r="K172" s="42">
        <v>12000</v>
      </c>
      <c r="L172" s="12">
        <f aca="true" t="shared" si="55" ref="L172:L183">+K172*J172</f>
        <v>538800</v>
      </c>
      <c r="M172" s="42"/>
      <c r="N172" s="42" t="s">
        <v>327</v>
      </c>
      <c r="O172" s="101" t="s">
        <v>446</v>
      </c>
      <c r="P172" s="45">
        <v>2</v>
      </c>
      <c r="Q172" s="100">
        <f>76.26+25.55+73.5+25.55</f>
        <v>200.86</v>
      </c>
      <c r="R172" s="100"/>
      <c r="S172" s="42">
        <v>7550</v>
      </c>
      <c r="T172" s="12">
        <f t="shared" si="53"/>
        <v>1516493</v>
      </c>
      <c r="U172" s="102" t="s">
        <v>84</v>
      </c>
      <c r="V172" s="12">
        <f>+T172*0.2</f>
        <v>303298.60000000003</v>
      </c>
      <c r="W172" s="12">
        <f t="shared" si="54"/>
        <v>1213194.4</v>
      </c>
      <c r="X172" s="116"/>
      <c r="Y172" s="117">
        <f t="shared" si="48"/>
        <v>1751994.4</v>
      </c>
      <c r="Z172" s="12"/>
      <c r="AA172" s="12">
        <f aca="true" t="shared" si="56" ref="AA172:AA183">+Y172-Z172</f>
        <v>1751994.4</v>
      </c>
      <c r="AB172" s="12">
        <v>0.02</v>
      </c>
      <c r="AC172" s="12">
        <f aca="true" t="shared" si="57" ref="AC172:AC183">+AA172*AB172/100</f>
        <v>350.39887999999996</v>
      </c>
      <c r="AD172" s="42"/>
      <c r="AE172" s="12" t="e">
        <f>+AC172*#REF!/#REF!</f>
        <v>#REF!</v>
      </c>
    </row>
    <row r="173" spans="1:31" s="7" customFormat="1" ht="23.25">
      <c r="A173" s="42" t="s">
        <v>0</v>
      </c>
      <c r="B173" s="42" t="s">
        <v>1</v>
      </c>
      <c r="C173" s="45" t="s">
        <v>1239</v>
      </c>
      <c r="D173" s="45" t="s">
        <v>843</v>
      </c>
      <c r="E173" s="29" t="s">
        <v>907</v>
      </c>
      <c r="F173" s="47" t="s">
        <v>137</v>
      </c>
      <c r="G173" s="42"/>
      <c r="H173" s="42"/>
      <c r="I173" s="44">
        <v>54.4</v>
      </c>
      <c r="J173" s="44">
        <f t="shared" si="52"/>
        <v>54.4</v>
      </c>
      <c r="K173" s="42">
        <v>12000</v>
      </c>
      <c r="L173" s="12">
        <f t="shared" si="55"/>
        <v>652800</v>
      </c>
      <c r="M173" s="42"/>
      <c r="N173" s="42"/>
      <c r="O173" s="42"/>
      <c r="P173" s="45"/>
      <c r="Q173" s="42"/>
      <c r="R173" s="42"/>
      <c r="S173" s="42"/>
      <c r="T173" s="12">
        <f t="shared" si="53"/>
        <v>0</v>
      </c>
      <c r="U173" s="45"/>
      <c r="V173" s="12">
        <f>+T173*0</f>
        <v>0</v>
      </c>
      <c r="W173" s="12">
        <f t="shared" si="54"/>
        <v>0</v>
      </c>
      <c r="X173" s="116"/>
      <c r="Y173" s="117">
        <f t="shared" si="48"/>
        <v>652800</v>
      </c>
      <c r="Z173" s="12"/>
      <c r="AA173" s="12">
        <f t="shared" si="56"/>
        <v>652800</v>
      </c>
      <c r="AB173" s="12">
        <v>0.02</v>
      </c>
      <c r="AC173" s="12">
        <f t="shared" si="57"/>
        <v>130.56</v>
      </c>
      <c r="AD173" s="42"/>
      <c r="AE173" s="12" t="e">
        <f>+AC173*#REF!/#REF!</f>
        <v>#REF!</v>
      </c>
    </row>
    <row r="174" spans="1:31" s="7" customFormat="1" ht="23.25">
      <c r="A174" s="42" t="s">
        <v>0</v>
      </c>
      <c r="B174" s="42" t="s">
        <v>1</v>
      </c>
      <c r="C174" s="45" t="s">
        <v>1240</v>
      </c>
      <c r="D174" s="45" t="s">
        <v>844</v>
      </c>
      <c r="E174" s="29" t="s">
        <v>907</v>
      </c>
      <c r="F174" s="47" t="s">
        <v>143</v>
      </c>
      <c r="G174" s="42"/>
      <c r="H174" s="42"/>
      <c r="I174" s="44">
        <v>27</v>
      </c>
      <c r="J174" s="44">
        <f t="shared" si="52"/>
        <v>27</v>
      </c>
      <c r="K174" s="42">
        <v>12000</v>
      </c>
      <c r="L174" s="12">
        <f aca="true" t="shared" si="58" ref="L174:L179">+K174*J174</f>
        <v>324000</v>
      </c>
      <c r="M174" s="42"/>
      <c r="N174" s="42"/>
      <c r="O174" s="100"/>
      <c r="P174" s="45"/>
      <c r="Q174" s="100"/>
      <c r="R174" s="100"/>
      <c r="S174" s="42"/>
      <c r="T174" s="12">
        <f t="shared" si="53"/>
        <v>0</v>
      </c>
      <c r="U174" s="45"/>
      <c r="V174" s="12">
        <f>+T174*0</f>
        <v>0</v>
      </c>
      <c r="W174" s="12">
        <f t="shared" si="54"/>
        <v>0</v>
      </c>
      <c r="X174" s="116"/>
      <c r="Y174" s="117">
        <f t="shared" si="48"/>
        <v>324000</v>
      </c>
      <c r="Z174" s="12"/>
      <c r="AA174" s="12">
        <f aca="true" t="shared" si="59" ref="AA174:AA179">+Y174-Z174</f>
        <v>324000</v>
      </c>
      <c r="AB174" s="12">
        <v>0.3</v>
      </c>
      <c r="AC174" s="12">
        <f aca="true" t="shared" si="60" ref="AC174:AC179">+AA174*AB174/100</f>
        <v>972</v>
      </c>
      <c r="AD174" s="42"/>
      <c r="AE174" s="12" t="e">
        <f>+AC174*#REF!/#REF!</f>
        <v>#REF!</v>
      </c>
    </row>
    <row r="175" spans="1:31" s="7" customFormat="1" ht="23.25">
      <c r="A175" s="42" t="s">
        <v>0</v>
      </c>
      <c r="B175" s="42" t="s">
        <v>1</v>
      </c>
      <c r="C175" s="45" t="s">
        <v>1241</v>
      </c>
      <c r="D175" s="45" t="s">
        <v>845</v>
      </c>
      <c r="E175" s="29" t="s">
        <v>907</v>
      </c>
      <c r="F175" s="47" t="s">
        <v>143</v>
      </c>
      <c r="G175" s="42"/>
      <c r="H175" s="42"/>
      <c r="I175" s="44">
        <v>89.9</v>
      </c>
      <c r="J175" s="44">
        <f t="shared" si="52"/>
        <v>89.9</v>
      </c>
      <c r="K175" s="42">
        <v>60000</v>
      </c>
      <c r="L175" s="12">
        <f t="shared" si="58"/>
        <v>5394000</v>
      </c>
      <c r="M175" s="42"/>
      <c r="N175" s="42" t="s">
        <v>118</v>
      </c>
      <c r="O175" s="104" t="s">
        <v>446</v>
      </c>
      <c r="P175" s="45" t="s">
        <v>143</v>
      </c>
      <c r="Q175" s="104">
        <v>120</v>
      </c>
      <c r="R175" s="42"/>
      <c r="S175" s="42">
        <v>7050</v>
      </c>
      <c r="T175" s="12">
        <f t="shared" si="53"/>
        <v>846000</v>
      </c>
      <c r="U175" s="102" t="s">
        <v>84</v>
      </c>
      <c r="V175" s="12">
        <f>+T175*0.2</f>
        <v>169200</v>
      </c>
      <c r="W175" s="12">
        <f t="shared" si="54"/>
        <v>676800</v>
      </c>
      <c r="X175" s="116"/>
      <c r="Y175" s="117">
        <f t="shared" si="48"/>
        <v>6070800</v>
      </c>
      <c r="Z175" s="12"/>
      <c r="AA175" s="12">
        <f t="shared" si="59"/>
        <v>6070800</v>
      </c>
      <c r="AB175" s="12">
        <v>0.3</v>
      </c>
      <c r="AC175" s="12">
        <f t="shared" si="60"/>
        <v>18212.4</v>
      </c>
      <c r="AD175" s="42"/>
      <c r="AE175" s="12" t="e">
        <f>+AC175*#REF!/#REF!</f>
        <v>#REF!</v>
      </c>
    </row>
    <row r="176" spans="1:31" s="7" customFormat="1" ht="23.25">
      <c r="A176" s="42" t="s">
        <v>0</v>
      </c>
      <c r="B176" s="42" t="s">
        <v>1</v>
      </c>
      <c r="C176" s="45" t="s">
        <v>1242</v>
      </c>
      <c r="D176" s="45" t="s">
        <v>846</v>
      </c>
      <c r="E176" s="29" t="s">
        <v>907</v>
      </c>
      <c r="F176" s="47" t="s">
        <v>137</v>
      </c>
      <c r="G176" s="42"/>
      <c r="H176" s="42"/>
      <c r="I176" s="44">
        <v>31.3</v>
      </c>
      <c r="J176" s="44">
        <f t="shared" si="52"/>
        <v>31.3</v>
      </c>
      <c r="K176" s="42">
        <v>23500</v>
      </c>
      <c r="L176" s="12">
        <f t="shared" si="58"/>
        <v>735550</v>
      </c>
      <c r="M176" s="42"/>
      <c r="N176" s="42" t="s">
        <v>60</v>
      </c>
      <c r="O176" s="101" t="s">
        <v>446</v>
      </c>
      <c r="P176" s="45" t="s">
        <v>137</v>
      </c>
      <c r="Q176" s="100">
        <v>144</v>
      </c>
      <c r="R176" s="100"/>
      <c r="S176" s="42">
        <v>7550</v>
      </c>
      <c r="T176" s="12">
        <f t="shared" si="53"/>
        <v>1087200</v>
      </c>
      <c r="U176" s="102" t="s">
        <v>84</v>
      </c>
      <c r="V176" s="12">
        <f>+T176*0.2</f>
        <v>217440</v>
      </c>
      <c r="W176" s="12">
        <f t="shared" si="54"/>
        <v>869760</v>
      </c>
      <c r="X176" s="116"/>
      <c r="Y176" s="117">
        <f t="shared" si="48"/>
        <v>1605310</v>
      </c>
      <c r="Z176" s="12"/>
      <c r="AA176" s="12">
        <f t="shared" si="59"/>
        <v>1605310</v>
      </c>
      <c r="AB176" s="12">
        <v>0.02</v>
      </c>
      <c r="AC176" s="12">
        <f t="shared" si="60"/>
        <v>321.062</v>
      </c>
      <c r="AD176" s="42"/>
      <c r="AE176" s="12" t="e">
        <f>+AC176*#REF!/#REF!</f>
        <v>#REF!</v>
      </c>
    </row>
    <row r="177" spans="1:31" s="7" customFormat="1" ht="23.25">
      <c r="A177" s="42" t="s">
        <v>0</v>
      </c>
      <c r="B177" s="42" t="s">
        <v>1</v>
      </c>
      <c r="C177" s="45" t="s">
        <v>1249</v>
      </c>
      <c r="D177" s="48" t="s">
        <v>853</v>
      </c>
      <c r="E177" s="29" t="s">
        <v>907</v>
      </c>
      <c r="F177" s="47" t="s">
        <v>137</v>
      </c>
      <c r="G177" s="42"/>
      <c r="H177" s="42"/>
      <c r="I177" s="44">
        <v>20.7</v>
      </c>
      <c r="J177" s="44">
        <f>+I177+(H177*100)+(G177*400)</f>
        <v>20.7</v>
      </c>
      <c r="K177" s="42">
        <v>23500</v>
      </c>
      <c r="L177" s="12">
        <f t="shared" si="58"/>
        <v>486450</v>
      </c>
      <c r="M177" s="42"/>
      <c r="N177" s="42" t="s">
        <v>62</v>
      </c>
      <c r="O177" s="101" t="s">
        <v>446</v>
      </c>
      <c r="P177" s="45" t="s">
        <v>137</v>
      </c>
      <c r="Q177" s="100">
        <v>62.5</v>
      </c>
      <c r="R177" s="100"/>
      <c r="S177" s="42">
        <v>6750</v>
      </c>
      <c r="T177" s="12">
        <f>+Q177*S177</f>
        <v>421875</v>
      </c>
      <c r="U177" s="102" t="s">
        <v>84</v>
      </c>
      <c r="V177" s="12">
        <f>+T177*0.2</f>
        <v>84375</v>
      </c>
      <c r="W177" s="12">
        <f>+T177-V177</f>
        <v>337500</v>
      </c>
      <c r="X177" s="116"/>
      <c r="Y177" s="117">
        <f>+L177+W177</f>
        <v>823950</v>
      </c>
      <c r="Z177" s="12"/>
      <c r="AA177" s="12">
        <f t="shared" si="59"/>
        <v>823950</v>
      </c>
      <c r="AB177" s="12">
        <v>0.02</v>
      </c>
      <c r="AC177" s="12">
        <f t="shared" si="60"/>
        <v>164.79</v>
      </c>
      <c r="AD177" s="42"/>
      <c r="AE177" s="12" t="e">
        <f>+AC177*#REF!/#REF!</f>
        <v>#REF!</v>
      </c>
    </row>
    <row r="178" spans="1:31" s="7" customFormat="1" ht="23.25">
      <c r="A178" s="42" t="s">
        <v>0</v>
      </c>
      <c r="B178" s="42" t="s">
        <v>1</v>
      </c>
      <c r="C178" s="45" t="s">
        <v>1250</v>
      </c>
      <c r="D178" s="45" t="s">
        <v>854</v>
      </c>
      <c r="E178" s="29" t="s">
        <v>907</v>
      </c>
      <c r="F178" s="47" t="s">
        <v>140</v>
      </c>
      <c r="G178" s="42"/>
      <c r="H178" s="42"/>
      <c r="I178" s="44">
        <v>77.9</v>
      </c>
      <c r="J178" s="44">
        <f>+I178+(H178*100)+(G178*400)</f>
        <v>77.9</v>
      </c>
      <c r="K178" s="42">
        <v>9000</v>
      </c>
      <c r="L178" s="12">
        <f t="shared" si="58"/>
        <v>701100</v>
      </c>
      <c r="M178" s="42"/>
      <c r="N178" s="42"/>
      <c r="O178" s="100"/>
      <c r="P178" s="45"/>
      <c r="Q178" s="100"/>
      <c r="R178" s="100"/>
      <c r="S178" s="42"/>
      <c r="T178" s="12">
        <f>+Q178*S178</f>
        <v>0</v>
      </c>
      <c r="U178" s="45"/>
      <c r="V178" s="12">
        <f>+T178*0</f>
        <v>0</v>
      </c>
      <c r="W178" s="12">
        <f>+T178-V178</f>
        <v>0</v>
      </c>
      <c r="X178" s="116"/>
      <c r="Y178" s="117">
        <f>+L178+W178</f>
        <v>701100</v>
      </c>
      <c r="Z178" s="12"/>
      <c r="AA178" s="12">
        <f t="shared" si="59"/>
        <v>701100</v>
      </c>
      <c r="AB178" s="12">
        <v>0.3</v>
      </c>
      <c r="AC178" s="12">
        <f t="shared" si="60"/>
        <v>2103.3</v>
      </c>
      <c r="AD178" s="42"/>
      <c r="AE178" s="12" t="e">
        <f>+AC178*#REF!/#REF!</f>
        <v>#REF!</v>
      </c>
    </row>
    <row r="179" spans="1:31" s="7" customFormat="1" ht="23.25">
      <c r="A179" s="42" t="s">
        <v>0</v>
      </c>
      <c r="B179" s="42" t="s">
        <v>1</v>
      </c>
      <c r="C179" s="45" t="s">
        <v>1251</v>
      </c>
      <c r="D179" s="45" t="s">
        <v>855</v>
      </c>
      <c r="E179" s="29" t="s">
        <v>907</v>
      </c>
      <c r="F179" s="47" t="s">
        <v>140</v>
      </c>
      <c r="G179" s="42">
        <v>1</v>
      </c>
      <c r="H179" s="42">
        <v>3</v>
      </c>
      <c r="I179" s="44">
        <v>5</v>
      </c>
      <c r="J179" s="44">
        <f t="shared" si="52"/>
        <v>705</v>
      </c>
      <c r="K179" s="42">
        <v>30000</v>
      </c>
      <c r="L179" s="12">
        <f t="shared" si="58"/>
        <v>21150000</v>
      </c>
      <c r="M179" s="42"/>
      <c r="N179" s="42"/>
      <c r="O179" s="42"/>
      <c r="P179" s="45"/>
      <c r="Q179" s="42"/>
      <c r="R179" s="42"/>
      <c r="S179" s="42"/>
      <c r="T179" s="12">
        <f t="shared" si="53"/>
        <v>0</v>
      </c>
      <c r="U179" s="45"/>
      <c r="V179" s="12">
        <f>+T179*0</f>
        <v>0</v>
      </c>
      <c r="W179" s="12">
        <f t="shared" si="54"/>
        <v>0</v>
      </c>
      <c r="X179" s="116"/>
      <c r="Y179" s="117">
        <f t="shared" si="48"/>
        <v>21150000</v>
      </c>
      <c r="Z179" s="12"/>
      <c r="AA179" s="12">
        <f t="shared" si="59"/>
        <v>21150000</v>
      </c>
      <c r="AB179" s="12">
        <v>0.3</v>
      </c>
      <c r="AC179" s="12">
        <f t="shared" si="60"/>
        <v>63450</v>
      </c>
      <c r="AD179" s="42"/>
      <c r="AE179" s="12" t="e">
        <f>+AC179*#REF!/#REF!</f>
        <v>#REF!</v>
      </c>
    </row>
    <row r="180" spans="1:31" s="7" customFormat="1" ht="23.25">
      <c r="A180" s="42" t="s">
        <v>0</v>
      </c>
      <c r="B180" s="42" t="s">
        <v>1</v>
      </c>
      <c r="C180" s="45" t="s">
        <v>1252</v>
      </c>
      <c r="D180" s="45" t="s">
        <v>856</v>
      </c>
      <c r="E180" s="29" t="s">
        <v>907</v>
      </c>
      <c r="F180" s="47" t="s">
        <v>177</v>
      </c>
      <c r="G180" s="42">
        <v>3</v>
      </c>
      <c r="H180" s="42">
        <v>2</v>
      </c>
      <c r="I180" s="44">
        <v>91.8</v>
      </c>
      <c r="J180" s="44">
        <f t="shared" si="52"/>
        <v>1491.8</v>
      </c>
      <c r="K180" s="42">
        <v>2250</v>
      </c>
      <c r="L180" s="12">
        <f t="shared" si="55"/>
        <v>3356550</v>
      </c>
      <c r="M180" s="42"/>
      <c r="N180" s="42"/>
      <c r="O180" s="42"/>
      <c r="P180" s="45"/>
      <c r="Q180" s="42"/>
      <c r="R180" s="42"/>
      <c r="S180" s="42"/>
      <c r="T180" s="12">
        <f t="shared" si="53"/>
        <v>0</v>
      </c>
      <c r="U180" s="45"/>
      <c r="V180" s="12">
        <f>+T180*0</f>
        <v>0</v>
      </c>
      <c r="W180" s="12">
        <f t="shared" si="54"/>
        <v>0</v>
      </c>
      <c r="X180" s="116"/>
      <c r="Y180" s="117">
        <f t="shared" si="48"/>
        <v>3356550</v>
      </c>
      <c r="Z180" s="12">
        <f>+Y180</f>
        <v>3356550</v>
      </c>
      <c r="AA180" s="12">
        <f t="shared" si="56"/>
        <v>0</v>
      </c>
      <c r="AB180" s="12"/>
      <c r="AC180" s="12">
        <f t="shared" si="57"/>
        <v>0</v>
      </c>
      <c r="AD180" s="42"/>
      <c r="AE180" s="12" t="e">
        <f>+AC180*#REF!/#REF!</f>
        <v>#REF!</v>
      </c>
    </row>
    <row r="181" spans="1:31" s="7" customFormat="1" ht="23.25">
      <c r="A181" s="42" t="s">
        <v>0</v>
      </c>
      <c r="B181" s="42" t="s">
        <v>1</v>
      </c>
      <c r="C181" s="45" t="s">
        <v>1253</v>
      </c>
      <c r="D181" s="45" t="s">
        <v>857</v>
      </c>
      <c r="E181" s="29" t="s">
        <v>907</v>
      </c>
      <c r="F181" s="47" t="s">
        <v>167</v>
      </c>
      <c r="G181" s="42">
        <v>2</v>
      </c>
      <c r="H181" s="42">
        <v>2</v>
      </c>
      <c r="I181" s="44">
        <v>81</v>
      </c>
      <c r="J181" s="44">
        <f t="shared" si="52"/>
        <v>1081</v>
      </c>
      <c r="K181" s="42">
        <v>40000</v>
      </c>
      <c r="L181" s="12">
        <f t="shared" si="55"/>
        <v>43240000</v>
      </c>
      <c r="M181" s="42">
        <v>1</v>
      </c>
      <c r="N181" s="42" t="s">
        <v>64</v>
      </c>
      <c r="O181" s="101" t="s">
        <v>446</v>
      </c>
      <c r="P181" s="45">
        <v>3</v>
      </c>
      <c r="Q181" s="100">
        <v>250</v>
      </c>
      <c r="R181" s="103">
        <v>51.02</v>
      </c>
      <c r="S181" s="42">
        <v>6550</v>
      </c>
      <c r="T181" s="12">
        <f>+Q181*S181</f>
        <v>1637500</v>
      </c>
      <c r="U181" s="102" t="s">
        <v>84</v>
      </c>
      <c r="V181" s="12">
        <f>+T181*0.2</f>
        <v>327500</v>
      </c>
      <c r="W181" s="12">
        <f t="shared" si="54"/>
        <v>1310000</v>
      </c>
      <c r="X181" s="116"/>
      <c r="Y181" s="117">
        <f>+L181*(R181/100)+W181</f>
        <v>23371048</v>
      </c>
      <c r="Z181" s="12"/>
      <c r="AA181" s="12">
        <f t="shared" si="56"/>
        <v>23371048</v>
      </c>
      <c r="AB181" s="12">
        <v>0.3</v>
      </c>
      <c r="AC181" s="12">
        <f t="shared" si="57"/>
        <v>70113.144</v>
      </c>
      <c r="AD181" s="42"/>
      <c r="AE181" s="12" t="e">
        <f>+AC181*#REF!/#REF!</f>
        <v>#REF!</v>
      </c>
    </row>
    <row r="182" spans="1:31" s="7" customFormat="1" ht="23.25">
      <c r="A182" s="42" t="s">
        <v>0</v>
      </c>
      <c r="B182" s="42"/>
      <c r="C182" s="45"/>
      <c r="D182" s="45"/>
      <c r="E182" s="45"/>
      <c r="F182" s="47"/>
      <c r="G182" s="42"/>
      <c r="H182" s="42"/>
      <c r="I182" s="44"/>
      <c r="J182" s="44">
        <f t="shared" si="52"/>
        <v>0</v>
      </c>
      <c r="K182" s="42"/>
      <c r="L182" s="12">
        <f t="shared" si="55"/>
        <v>0</v>
      </c>
      <c r="M182" s="42">
        <v>2</v>
      </c>
      <c r="N182" s="42" t="s">
        <v>863</v>
      </c>
      <c r="O182" s="101" t="s">
        <v>446</v>
      </c>
      <c r="P182" s="45" t="s">
        <v>137</v>
      </c>
      <c r="Q182" s="100">
        <v>240</v>
      </c>
      <c r="R182" s="103">
        <v>48.98</v>
      </c>
      <c r="S182" s="42">
        <v>6650</v>
      </c>
      <c r="T182" s="12">
        <f t="shared" si="53"/>
        <v>1596000</v>
      </c>
      <c r="U182" s="45" t="s">
        <v>264</v>
      </c>
      <c r="V182" s="12">
        <f>+T182*0.09</f>
        <v>143640</v>
      </c>
      <c r="W182" s="12">
        <f t="shared" si="54"/>
        <v>1452360</v>
      </c>
      <c r="X182" s="116"/>
      <c r="Y182" s="117">
        <f>+L181*(R182/100)+W182</f>
        <v>22631312</v>
      </c>
      <c r="Z182" s="12"/>
      <c r="AA182" s="12">
        <f t="shared" si="56"/>
        <v>22631312</v>
      </c>
      <c r="AB182" s="12">
        <v>0.02</v>
      </c>
      <c r="AC182" s="12">
        <f t="shared" si="57"/>
        <v>4526.2624</v>
      </c>
      <c r="AD182" s="42"/>
      <c r="AE182" s="12" t="e">
        <f>+AC182*#REF!/#REF!</f>
        <v>#REF!</v>
      </c>
    </row>
    <row r="183" spans="1:31" s="7" customFormat="1" ht="23.25">
      <c r="A183" s="42" t="s">
        <v>0</v>
      </c>
      <c r="B183" s="42" t="s">
        <v>859</v>
      </c>
      <c r="C183" s="45"/>
      <c r="D183" s="45" t="s">
        <v>858</v>
      </c>
      <c r="E183" s="30" t="s">
        <v>908</v>
      </c>
      <c r="F183" s="47" t="s">
        <v>143</v>
      </c>
      <c r="G183" s="42"/>
      <c r="H183" s="42"/>
      <c r="I183" s="44"/>
      <c r="J183" s="44">
        <f t="shared" si="52"/>
        <v>0</v>
      </c>
      <c r="K183" s="42"/>
      <c r="L183" s="12">
        <f t="shared" si="55"/>
        <v>0</v>
      </c>
      <c r="M183" s="42"/>
      <c r="N183" s="105" t="s">
        <v>63</v>
      </c>
      <c r="O183" s="101" t="s">
        <v>446</v>
      </c>
      <c r="P183" s="45">
        <v>3</v>
      </c>
      <c r="Q183" s="106">
        <f>87+435+128</f>
        <v>650</v>
      </c>
      <c r="R183" s="106"/>
      <c r="S183" s="105">
        <v>6950</v>
      </c>
      <c r="T183" s="12">
        <f t="shared" si="53"/>
        <v>4517500</v>
      </c>
      <c r="U183" s="45" t="s">
        <v>264</v>
      </c>
      <c r="V183" s="12">
        <f>+T183*0.09</f>
        <v>406575</v>
      </c>
      <c r="W183" s="12">
        <f t="shared" si="54"/>
        <v>4110925</v>
      </c>
      <c r="X183" s="116"/>
      <c r="Y183" s="117">
        <f aca="true" t="shared" si="61" ref="Y183:Y219">+L183+W183</f>
        <v>4110925</v>
      </c>
      <c r="Z183" s="12">
        <f>+Y183*0.9</f>
        <v>3699832.5</v>
      </c>
      <c r="AA183" s="12">
        <f t="shared" si="56"/>
        <v>411092.5</v>
      </c>
      <c r="AB183" s="12">
        <v>0.3</v>
      </c>
      <c r="AC183" s="12">
        <f t="shared" si="57"/>
        <v>1233.2775</v>
      </c>
      <c r="AD183" s="42" t="s">
        <v>1785</v>
      </c>
      <c r="AE183" s="12" t="e">
        <f>+AC183*#REF!/#REF!</f>
        <v>#REF!</v>
      </c>
    </row>
    <row r="184" spans="1:31" s="7" customFormat="1" ht="23.25">
      <c r="A184" s="42" t="s">
        <v>0</v>
      </c>
      <c r="B184" s="42" t="s">
        <v>1</v>
      </c>
      <c r="C184" s="45" t="s">
        <v>1243</v>
      </c>
      <c r="D184" s="45" t="s">
        <v>847</v>
      </c>
      <c r="E184" s="29" t="s">
        <v>907</v>
      </c>
      <c r="F184" s="47" t="s">
        <v>137</v>
      </c>
      <c r="G184" s="42"/>
      <c r="H184" s="42"/>
      <c r="I184" s="44">
        <v>54.1</v>
      </c>
      <c r="J184" s="44">
        <f aca="true" t="shared" si="62" ref="J184:J191">+I184+(H184*100)+(G184*400)</f>
        <v>54.1</v>
      </c>
      <c r="K184" s="42">
        <v>15000</v>
      </c>
      <c r="L184" s="12">
        <f aca="true" t="shared" si="63" ref="L184:L193">+K184*J184</f>
        <v>811500</v>
      </c>
      <c r="M184" s="42"/>
      <c r="N184" s="42"/>
      <c r="O184" s="101"/>
      <c r="P184" s="45"/>
      <c r="Q184" s="100"/>
      <c r="R184" s="100"/>
      <c r="S184" s="42"/>
      <c r="T184" s="12">
        <f aca="true" t="shared" si="64" ref="T184:T191">+Q184*S184</f>
        <v>0</v>
      </c>
      <c r="U184" s="102"/>
      <c r="V184" s="12">
        <f>+T184*0</f>
        <v>0</v>
      </c>
      <c r="W184" s="12">
        <f aca="true" t="shared" si="65" ref="W184:W191">+T184-V184</f>
        <v>0</v>
      </c>
      <c r="X184" s="116"/>
      <c r="Y184" s="117"/>
      <c r="Z184" s="12"/>
      <c r="AA184" s="12">
        <f aca="true" t="shared" si="66" ref="AA184:AA193">+Y184-Z184</f>
        <v>0</v>
      </c>
      <c r="AB184" s="12"/>
      <c r="AC184" s="12">
        <f aca="true" t="shared" si="67" ref="AC184:AC193">+AA184*AB184/100</f>
        <v>0</v>
      </c>
      <c r="AD184" s="42"/>
      <c r="AE184" s="12" t="e">
        <f>+AC184*#REF!/#REF!</f>
        <v>#REF!</v>
      </c>
    </row>
    <row r="185" spans="1:31" s="7" customFormat="1" ht="23.25">
      <c r="A185" s="42" t="s">
        <v>0</v>
      </c>
      <c r="B185" s="42" t="s">
        <v>1</v>
      </c>
      <c r="C185" s="45" t="s">
        <v>1244</v>
      </c>
      <c r="D185" s="48" t="s">
        <v>848</v>
      </c>
      <c r="E185" s="29" t="s">
        <v>907</v>
      </c>
      <c r="F185" s="47" t="s">
        <v>167</v>
      </c>
      <c r="G185" s="42"/>
      <c r="H185" s="42"/>
      <c r="I185" s="44">
        <v>49.2</v>
      </c>
      <c r="J185" s="44">
        <f t="shared" si="62"/>
        <v>49.2</v>
      </c>
      <c r="K185" s="42">
        <v>23500</v>
      </c>
      <c r="L185" s="12">
        <f t="shared" si="63"/>
        <v>1156200</v>
      </c>
      <c r="M185" s="42">
        <v>1</v>
      </c>
      <c r="N185" s="42" t="s">
        <v>64</v>
      </c>
      <c r="O185" s="101" t="s">
        <v>446</v>
      </c>
      <c r="P185" s="45" t="s">
        <v>143</v>
      </c>
      <c r="Q185" s="100">
        <v>67.2</v>
      </c>
      <c r="R185" s="103">
        <v>8.22</v>
      </c>
      <c r="S185" s="42">
        <v>6550</v>
      </c>
      <c r="T185" s="12">
        <f t="shared" si="64"/>
        <v>440160</v>
      </c>
      <c r="U185" s="45" t="s">
        <v>379</v>
      </c>
      <c r="V185" s="12">
        <f>+T185*0.03</f>
        <v>13204.8</v>
      </c>
      <c r="W185" s="12">
        <f t="shared" si="65"/>
        <v>426955.2</v>
      </c>
      <c r="X185" s="116"/>
      <c r="Y185" s="117">
        <f>+(L185+L184+L187+L188+L189+L190)*(R185/100)+W185</f>
        <v>881159.52</v>
      </c>
      <c r="Z185" s="12"/>
      <c r="AA185" s="12">
        <f t="shared" si="66"/>
        <v>881159.52</v>
      </c>
      <c r="AB185" s="12">
        <v>0.3</v>
      </c>
      <c r="AC185" s="12">
        <f t="shared" si="67"/>
        <v>2643.4785599999996</v>
      </c>
      <c r="AD185" s="42" t="s">
        <v>1788</v>
      </c>
      <c r="AE185" s="12" t="e">
        <f>+AC185*#REF!/#REF!</f>
        <v>#REF!</v>
      </c>
    </row>
    <row r="186" spans="1:31" s="7" customFormat="1" ht="23.25">
      <c r="A186" s="42" t="s">
        <v>0</v>
      </c>
      <c r="B186" s="42"/>
      <c r="C186" s="45"/>
      <c r="D186" s="45"/>
      <c r="E186" s="45"/>
      <c r="F186" s="47"/>
      <c r="G186" s="42"/>
      <c r="H186" s="42"/>
      <c r="I186" s="44"/>
      <c r="J186" s="44">
        <f t="shared" si="62"/>
        <v>0</v>
      </c>
      <c r="K186" s="42"/>
      <c r="L186" s="12">
        <f t="shared" si="63"/>
        <v>0</v>
      </c>
      <c r="M186" s="42">
        <v>2</v>
      </c>
      <c r="N186" s="42" t="s">
        <v>64</v>
      </c>
      <c r="O186" s="101" t="s">
        <v>446</v>
      </c>
      <c r="P186" s="45" t="s">
        <v>137</v>
      </c>
      <c r="Q186" s="100">
        <v>750</v>
      </c>
      <c r="R186" s="103">
        <v>91.78</v>
      </c>
      <c r="S186" s="42">
        <v>6550</v>
      </c>
      <c r="T186" s="12">
        <f t="shared" si="64"/>
        <v>4912500</v>
      </c>
      <c r="U186" s="102" t="s">
        <v>84</v>
      </c>
      <c r="V186" s="12">
        <f>+T186*0.2</f>
        <v>982500</v>
      </c>
      <c r="W186" s="12">
        <f t="shared" si="65"/>
        <v>3930000</v>
      </c>
      <c r="X186" s="116"/>
      <c r="Y186" s="117">
        <f>+(L185+L184+L187+L188+L189+L190)*(R186/100)+W186</f>
        <v>9001395.68</v>
      </c>
      <c r="Z186" s="12"/>
      <c r="AA186" s="12">
        <f t="shared" si="66"/>
        <v>9001395.68</v>
      </c>
      <c r="AB186" s="12">
        <v>0.02</v>
      </c>
      <c r="AC186" s="12">
        <f t="shared" si="67"/>
        <v>1800.279136</v>
      </c>
      <c r="AD186" s="42"/>
      <c r="AE186" s="12" t="e">
        <f>+AC186*#REF!/#REF!</f>
        <v>#REF!</v>
      </c>
    </row>
    <row r="187" spans="1:31" s="7" customFormat="1" ht="23.25">
      <c r="A187" s="42" t="s">
        <v>0</v>
      </c>
      <c r="B187" s="42" t="s">
        <v>1</v>
      </c>
      <c r="C187" s="45" t="s">
        <v>1245</v>
      </c>
      <c r="D187" s="45" t="s">
        <v>849</v>
      </c>
      <c r="E187" s="29" t="s">
        <v>907</v>
      </c>
      <c r="F187" s="47" t="s">
        <v>167</v>
      </c>
      <c r="G187" s="42"/>
      <c r="H187" s="42"/>
      <c r="I187" s="44">
        <v>43.4</v>
      </c>
      <c r="J187" s="44">
        <f t="shared" si="62"/>
        <v>43.4</v>
      </c>
      <c r="K187" s="42">
        <v>23500</v>
      </c>
      <c r="L187" s="12">
        <f t="shared" si="63"/>
        <v>1019900</v>
      </c>
      <c r="M187" s="42"/>
      <c r="N187" s="42"/>
      <c r="O187" s="42"/>
      <c r="P187" s="45"/>
      <c r="Q187" s="42"/>
      <c r="R187" s="42"/>
      <c r="S187" s="42"/>
      <c r="T187" s="12">
        <f t="shared" si="64"/>
        <v>0</v>
      </c>
      <c r="U187" s="45"/>
      <c r="V187" s="12">
        <f>+T187*0</f>
        <v>0</v>
      </c>
      <c r="W187" s="12">
        <f t="shared" si="65"/>
        <v>0</v>
      </c>
      <c r="X187" s="116"/>
      <c r="Y187" s="117"/>
      <c r="Z187" s="12"/>
      <c r="AA187" s="12">
        <f t="shared" si="66"/>
        <v>0</v>
      </c>
      <c r="AB187" s="12"/>
      <c r="AC187" s="12">
        <f t="shared" si="67"/>
        <v>0</v>
      </c>
      <c r="AD187" s="42"/>
      <c r="AE187" s="12" t="e">
        <f>+AC187*#REF!/#REF!</f>
        <v>#REF!</v>
      </c>
    </row>
    <row r="188" spans="1:31" s="7" customFormat="1" ht="23.25">
      <c r="A188" s="42" t="s">
        <v>0</v>
      </c>
      <c r="B188" s="42" t="s">
        <v>1</v>
      </c>
      <c r="C188" s="45" t="s">
        <v>1246</v>
      </c>
      <c r="D188" s="45" t="s">
        <v>850</v>
      </c>
      <c r="E188" s="29" t="s">
        <v>907</v>
      </c>
      <c r="F188" s="47" t="s">
        <v>167</v>
      </c>
      <c r="G188" s="42"/>
      <c r="H188" s="42"/>
      <c r="I188" s="44">
        <v>37.5</v>
      </c>
      <c r="J188" s="44">
        <f t="shared" si="62"/>
        <v>37.5</v>
      </c>
      <c r="K188" s="42">
        <v>23500</v>
      </c>
      <c r="L188" s="12">
        <f t="shared" si="63"/>
        <v>881250</v>
      </c>
      <c r="M188" s="42"/>
      <c r="N188" s="42"/>
      <c r="O188" s="100"/>
      <c r="P188" s="45"/>
      <c r="Q188" s="100"/>
      <c r="R188" s="100"/>
      <c r="S188" s="42"/>
      <c r="T188" s="12">
        <f t="shared" si="64"/>
        <v>0</v>
      </c>
      <c r="U188" s="45"/>
      <c r="V188" s="12">
        <f>+T188*0</f>
        <v>0</v>
      </c>
      <c r="W188" s="12">
        <f t="shared" si="65"/>
        <v>0</v>
      </c>
      <c r="X188" s="116"/>
      <c r="Y188" s="117"/>
      <c r="Z188" s="12"/>
      <c r="AA188" s="12">
        <f t="shared" si="66"/>
        <v>0</v>
      </c>
      <c r="AB188" s="12"/>
      <c r="AC188" s="12">
        <f t="shared" si="67"/>
        <v>0</v>
      </c>
      <c r="AD188" s="42"/>
      <c r="AE188" s="12" t="e">
        <f>+AC188*#REF!/#REF!</f>
        <v>#REF!</v>
      </c>
    </row>
    <row r="189" spans="1:31" s="7" customFormat="1" ht="23.25">
      <c r="A189" s="42" t="s">
        <v>0</v>
      </c>
      <c r="B189" s="42" t="s">
        <v>1</v>
      </c>
      <c r="C189" s="45" t="s">
        <v>1247</v>
      </c>
      <c r="D189" s="45" t="s">
        <v>851</v>
      </c>
      <c r="E189" s="29" t="s">
        <v>907</v>
      </c>
      <c r="F189" s="47" t="s">
        <v>167</v>
      </c>
      <c r="G189" s="42"/>
      <c r="H189" s="42"/>
      <c r="I189" s="44">
        <v>31.6</v>
      </c>
      <c r="J189" s="44">
        <f t="shared" si="62"/>
        <v>31.6</v>
      </c>
      <c r="K189" s="42">
        <v>23500</v>
      </c>
      <c r="L189" s="12">
        <f t="shared" si="63"/>
        <v>742600</v>
      </c>
      <c r="M189" s="42"/>
      <c r="N189" s="42"/>
      <c r="O189" s="42"/>
      <c r="P189" s="45"/>
      <c r="Q189" s="42"/>
      <c r="R189" s="42"/>
      <c r="S189" s="42"/>
      <c r="T189" s="12">
        <f t="shared" si="64"/>
        <v>0</v>
      </c>
      <c r="U189" s="45"/>
      <c r="V189" s="12">
        <f>+T189*0</f>
        <v>0</v>
      </c>
      <c r="W189" s="12">
        <f t="shared" si="65"/>
        <v>0</v>
      </c>
      <c r="X189" s="116"/>
      <c r="Y189" s="117"/>
      <c r="Z189" s="12"/>
      <c r="AA189" s="12">
        <f t="shared" si="66"/>
        <v>0</v>
      </c>
      <c r="AB189" s="12"/>
      <c r="AC189" s="12">
        <f t="shared" si="67"/>
        <v>0</v>
      </c>
      <c r="AD189" s="42"/>
      <c r="AE189" s="12" t="e">
        <f>+AC189*#REF!/#REF!</f>
        <v>#REF!</v>
      </c>
    </row>
    <row r="190" spans="1:31" s="7" customFormat="1" ht="23.25">
      <c r="A190" s="42" t="s">
        <v>0</v>
      </c>
      <c r="B190" s="42" t="s">
        <v>1</v>
      </c>
      <c r="C190" s="45" t="s">
        <v>1248</v>
      </c>
      <c r="D190" s="45" t="s">
        <v>852</v>
      </c>
      <c r="E190" s="29" t="s">
        <v>907</v>
      </c>
      <c r="F190" s="47" t="s">
        <v>167</v>
      </c>
      <c r="G190" s="42"/>
      <c r="H190" s="42"/>
      <c r="I190" s="44">
        <v>38.9</v>
      </c>
      <c r="J190" s="44">
        <f t="shared" si="62"/>
        <v>38.9</v>
      </c>
      <c r="K190" s="42">
        <v>23500</v>
      </c>
      <c r="L190" s="12">
        <f t="shared" si="63"/>
        <v>914150</v>
      </c>
      <c r="M190" s="42"/>
      <c r="N190" s="42"/>
      <c r="O190" s="42"/>
      <c r="P190" s="45"/>
      <c r="Q190" s="42"/>
      <c r="R190" s="42"/>
      <c r="S190" s="42"/>
      <c r="T190" s="12">
        <f t="shared" si="64"/>
        <v>0</v>
      </c>
      <c r="U190" s="45"/>
      <c r="V190" s="12">
        <f>+T190*0</f>
        <v>0</v>
      </c>
      <c r="W190" s="12">
        <f t="shared" si="65"/>
        <v>0</v>
      </c>
      <c r="X190" s="116"/>
      <c r="Y190" s="117"/>
      <c r="Z190" s="12"/>
      <c r="AA190" s="12">
        <f t="shared" si="66"/>
        <v>0</v>
      </c>
      <c r="AB190" s="12"/>
      <c r="AC190" s="12">
        <f t="shared" si="67"/>
        <v>0</v>
      </c>
      <c r="AD190" s="42"/>
      <c r="AE190" s="12" t="e">
        <f>+AC190*#REF!/#REF!</f>
        <v>#REF!</v>
      </c>
    </row>
    <row r="191" spans="1:31" s="7" customFormat="1" ht="23.25">
      <c r="A191" s="42" t="s">
        <v>0</v>
      </c>
      <c r="B191" s="42" t="s">
        <v>1</v>
      </c>
      <c r="C191" s="45" t="s">
        <v>1786</v>
      </c>
      <c r="D191" s="45" t="s">
        <v>1787</v>
      </c>
      <c r="E191" s="29" t="s">
        <v>907</v>
      </c>
      <c r="F191" s="47" t="s">
        <v>137</v>
      </c>
      <c r="G191" s="42"/>
      <c r="H191" s="42"/>
      <c r="I191" s="44">
        <v>69.4</v>
      </c>
      <c r="J191" s="44">
        <f t="shared" si="62"/>
        <v>69.4</v>
      </c>
      <c r="K191" s="42"/>
      <c r="L191" s="12">
        <f t="shared" si="63"/>
        <v>0</v>
      </c>
      <c r="M191" s="42"/>
      <c r="N191" s="42" t="s">
        <v>1789</v>
      </c>
      <c r="O191" s="104" t="s">
        <v>446</v>
      </c>
      <c r="P191" s="45">
        <v>2</v>
      </c>
      <c r="Q191" s="104">
        <f>54*3</f>
        <v>162</v>
      </c>
      <c r="R191" s="100"/>
      <c r="S191" s="42">
        <v>7550</v>
      </c>
      <c r="T191" s="12">
        <f t="shared" si="64"/>
        <v>1223100</v>
      </c>
      <c r="U191" s="102" t="s">
        <v>84</v>
      </c>
      <c r="V191" s="12">
        <f>+T191*0.2</f>
        <v>244620</v>
      </c>
      <c r="W191" s="12">
        <f t="shared" si="65"/>
        <v>978480</v>
      </c>
      <c r="X191" s="116"/>
      <c r="Y191" s="117">
        <f>+L191+W191</f>
        <v>978480</v>
      </c>
      <c r="Z191" s="12"/>
      <c r="AA191" s="12">
        <f t="shared" si="66"/>
        <v>978480</v>
      </c>
      <c r="AB191" s="12">
        <v>0.02</v>
      </c>
      <c r="AC191" s="12">
        <f t="shared" si="67"/>
        <v>195.69600000000003</v>
      </c>
      <c r="AD191" s="42"/>
      <c r="AE191" s="12" t="e">
        <f>+AC191*#REF!/#REF!</f>
        <v>#REF!</v>
      </c>
    </row>
    <row r="192" spans="1:31" s="7" customFormat="1" ht="23.25">
      <c r="A192" s="42"/>
      <c r="B192" s="42"/>
      <c r="C192" s="45"/>
      <c r="D192" s="45"/>
      <c r="E192" s="45"/>
      <c r="F192" s="47"/>
      <c r="G192" s="42"/>
      <c r="H192" s="42"/>
      <c r="I192" s="44"/>
      <c r="J192" s="44">
        <f aca="true" t="shared" si="68" ref="J192:J228">+I192+(H192*100)+(G192*400)</f>
        <v>0</v>
      </c>
      <c r="K192" s="42"/>
      <c r="L192" s="42">
        <f t="shared" si="63"/>
        <v>0</v>
      </c>
      <c r="M192" s="42"/>
      <c r="N192" s="42"/>
      <c r="O192" s="42"/>
      <c r="P192" s="45"/>
      <c r="Q192" s="42"/>
      <c r="R192" s="42"/>
      <c r="S192" s="42"/>
      <c r="T192" s="12">
        <f aca="true" t="shared" si="69" ref="T192:T228">+Q192*S192</f>
        <v>0</v>
      </c>
      <c r="U192" s="45"/>
      <c r="V192" s="12">
        <f>+T192*0</f>
        <v>0</v>
      </c>
      <c r="W192" s="12">
        <f aca="true" t="shared" si="70" ref="W192:W228">+T192-V192</f>
        <v>0</v>
      </c>
      <c r="X192" s="116"/>
      <c r="Y192" s="117">
        <f>+L192+W192</f>
        <v>0</v>
      </c>
      <c r="Z192" s="12"/>
      <c r="AA192" s="12">
        <f t="shared" si="66"/>
        <v>0</v>
      </c>
      <c r="AB192" s="12"/>
      <c r="AC192" s="12">
        <f t="shared" si="67"/>
        <v>0</v>
      </c>
      <c r="AD192" s="42"/>
      <c r="AE192" s="42"/>
    </row>
    <row r="193" spans="1:31" s="7" customFormat="1" ht="23.25">
      <c r="A193" s="42"/>
      <c r="B193" s="42"/>
      <c r="C193" s="45"/>
      <c r="D193" s="45"/>
      <c r="E193" s="45"/>
      <c r="F193" s="47"/>
      <c r="G193" s="42"/>
      <c r="H193" s="42"/>
      <c r="I193" s="44"/>
      <c r="J193" s="44">
        <f t="shared" si="68"/>
        <v>0</v>
      </c>
      <c r="K193" s="42"/>
      <c r="L193" s="42">
        <f t="shared" si="63"/>
        <v>0</v>
      </c>
      <c r="M193" s="42"/>
      <c r="N193" s="42"/>
      <c r="O193" s="42"/>
      <c r="P193" s="45"/>
      <c r="Q193" s="42"/>
      <c r="R193" s="42"/>
      <c r="S193" s="42"/>
      <c r="T193" s="12">
        <f t="shared" si="69"/>
        <v>0</v>
      </c>
      <c r="U193" s="45"/>
      <c r="V193" s="12">
        <f>+T193*0</f>
        <v>0</v>
      </c>
      <c r="W193" s="12">
        <f t="shared" si="70"/>
        <v>0</v>
      </c>
      <c r="X193" s="116"/>
      <c r="Y193" s="117">
        <f>+L193+W193</f>
        <v>0</v>
      </c>
      <c r="Z193" s="12"/>
      <c r="AA193" s="12">
        <f t="shared" si="66"/>
        <v>0</v>
      </c>
      <c r="AB193" s="12"/>
      <c r="AC193" s="12">
        <f t="shared" si="67"/>
        <v>0</v>
      </c>
      <c r="AD193" s="42"/>
      <c r="AE193" s="42"/>
    </row>
    <row r="194" spans="1:31" s="7" customFormat="1" ht="23.25">
      <c r="A194" s="42" t="s">
        <v>0</v>
      </c>
      <c r="B194" s="42" t="s">
        <v>1</v>
      </c>
      <c r="C194" s="45" t="s">
        <v>1254</v>
      </c>
      <c r="D194" s="45" t="s">
        <v>860</v>
      </c>
      <c r="E194" s="29" t="s">
        <v>907</v>
      </c>
      <c r="F194" s="47" t="s">
        <v>137</v>
      </c>
      <c r="G194" s="42"/>
      <c r="H194" s="42">
        <v>1</v>
      </c>
      <c r="I194" s="44">
        <v>78.6</v>
      </c>
      <c r="J194" s="44">
        <f t="shared" si="68"/>
        <v>178.6</v>
      </c>
      <c r="K194" s="42">
        <v>4550</v>
      </c>
      <c r="L194" s="12">
        <f t="shared" si="45"/>
        <v>812630</v>
      </c>
      <c r="M194" s="42"/>
      <c r="N194" s="42" t="s">
        <v>64</v>
      </c>
      <c r="O194" s="101" t="s">
        <v>446</v>
      </c>
      <c r="P194" s="45" t="s">
        <v>137</v>
      </c>
      <c r="Q194" s="100">
        <v>88</v>
      </c>
      <c r="R194" s="100"/>
      <c r="S194" s="42">
        <v>6550</v>
      </c>
      <c r="T194" s="12">
        <f t="shared" si="69"/>
        <v>576400</v>
      </c>
      <c r="U194" s="102" t="s">
        <v>84</v>
      </c>
      <c r="V194" s="12">
        <f>+T194*0.2</f>
        <v>115280</v>
      </c>
      <c r="W194" s="12">
        <f t="shared" si="70"/>
        <v>461120</v>
      </c>
      <c r="X194" s="116"/>
      <c r="Y194" s="117">
        <f t="shared" si="61"/>
        <v>1273750</v>
      </c>
      <c r="Z194" s="12">
        <f>+Y194</f>
        <v>1273750</v>
      </c>
      <c r="AA194" s="12">
        <f t="shared" si="49"/>
        <v>0</v>
      </c>
      <c r="AB194" s="12"/>
      <c r="AC194" s="12">
        <f t="shared" si="50"/>
        <v>0</v>
      </c>
      <c r="AD194" s="31" t="s">
        <v>906</v>
      </c>
      <c r="AE194" s="42"/>
    </row>
    <row r="195" spans="1:31" s="7" customFormat="1" ht="23.25">
      <c r="A195" s="42" t="s">
        <v>0</v>
      </c>
      <c r="B195" s="42" t="s">
        <v>1</v>
      </c>
      <c r="C195" s="45" t="s">
        <v>1255</v>
      </c>
      <c r="D195" s="48" t="s">
        <v>861</v>
      </c>
      <c r="E195" s="29" t="s">
        <v>907</v>
      </c>
      <c r="F195" s="47" t="s">
        <v>177</v>
      </c>
      <c r="G195" s="42"/>
      <c r="H195" s="42">
        <v>1</v>
      </c>
      <c r="I195" s="44">
        <v>31.8</v>
      </c>
      <c r="J195" s="44">
        <f t="shared" si="68"/>
        <v>131.8</v>
      </c>
      <c r="K195" s="42">
        <v>12000</v>
      </c>
      <c r="L195" s="12">
        <f t="shared" si="45"/>
        <v>1581600.0000000002</v>
      </c>
      <c r="M195" s="42"/>
      <c r="N195" s="42"/>
      <c r="O195" s="100"/>
      <c r="P195" s="45"/>
      <c r="Q195" s="100"/>
      <c r="R195" s="100"/>
      <c r="S195" s="42"/>
      <c r="T195" s="12">
        <f t="shared" si="69"/>
        <v>0</v>
      </c>
      <c r="U195" s="45"/>
      <c r="V195" s="12">
        <f>+T195*0</f>
        <v>0</v>
      </c>
      <c r="W195" s="12">
        <f t="shared" si="70"/>
        <v>0</v>
      </c>
      <c r="X195" s="116"/>
      <c r="Y195" s="117">
        <f t="shared" si="61"/>
        <v>1581600.0000000002</v>
      </c>
      <c r="Z195" s="12">
        <f>+Y195</f>
        <v>1581600.0000000002</v>
      </c>
      <c r="AA195" s="12">
        <f t="shared" si="49"/>
        <v>0</v>
      </c>
      <c r="AB195" s="12"/>
      <c r="AC195" s="12">
        <f t="shared" si="50"/>
        <v>0</v>
      </c>
      <c r="AD195" s="42"/>
      <c r="AE195" s="42"/>
    </row>
    <row r="196" spans="1:31" s="7" customFormat="1" ht="23.25">
      <c r="A196" s="42" t="s">
        <v>0</v>
      </c>
      <c r="B196" s="42" t="s">
        <v>1</v>
      </c>
      <c r="C196" s="45" t="s">
        <v>1256</v>
      </c>
      <c r="D196" s="48" t="s">
        <v>862</v>
      </c>
      <c r="E196" s="29" t="s">
        <v>907</v>
      </c>
      <c r="F196" s="47" t="s">
        <v>137</v>
      </c>
      <c r="G196" s="42"/>
      <c r="H196" s="42">
        <v>1</v>
      </c>
      <c r="I196" s="44">
        <v>10.8</v>
      </c>
      <c r="J196" s="44">
        <f t="shared" si="68"/>
        <v>110.8</v>
      </c>
      <c r="K196" s="42">
        <v>12000</v>
      </c>
      <c r="L196" s="12">
        <f t="shared" si="45"/>
        <v>1329600</v>
      </c>
      <c r="M196" s="42"/>
      <c r="N196" s="42" t="s">
        <v>863</v>
      </c>
      <c r="O196" s="101" t="s">
        <v>446</v>
      </c>
      <c r="P196" s="45" t="s">
        <v>137</v>
      </c>
      <c r="Q196" s="100">
        <v>80</v>
      </c>
      <c r="R196" s="100"/>
      <c r="S196" s="42">
        <v>6650</v>
      </c>
      <c r="T196" s="12">
        <f t="shared" si="69"/>
        <v>532000</v>
      </c>
      <c r="U196" s="102" t="s">
        <v>84</v>
      </c>
      <c r="V196" s="12">
        <f>+T196*0.2</f>
        <v>106400</v>
      </c>
      <c r="W196" s="12">
        <f t="shared" si="70"/>
        <v>425600</v>
      </c>
      <c r="X196" s="116"/>
      <c r="Y196" s="117">
        <f t="shared" si="61"/>
        <v>1755200</v>
      </c>
      <c r="Z196" s="12"/>
      <c r="AA196" s="12">
        <f t="shared" si="49"/>
        <v>1755200</v>
      </c>
      <c r="AB196" s="12">
        <v>0.02</v>
      </c>
      <c r="AC196" s="12">
        <f t="shared" si="50"/>
        <v>351.04</v>
      </c>
      <c r="AD196" s="42"/>
      <c r="AE196" s="42"/>
    </row>
    <row r="197" spans="1:31" s="7" customFormat="1" ht="23.25">
      <c r="A197" s="42"/>
      <c r="B197" s="42"/>
      <c r="C197" s="45"/>
      <c r="D197" s="45"/>
      <c r="E197" s="45"/>
      <c r="F197" s="47"/>
      <c r="G197" s="42"/>
      <c r="H197" s="42"/>
      <c r="I197" s="44"/>
      <c r="J197" s="44">
        <f t="shared" si="68"/>
        <v>0</v>
      </c>
      <c r="K197" s="42"/>
      <c r="L197" s="42">
        <f t="shared" si="45"/>
        <v>0</v>
      </c>
      <c r="M197" s="42"/>
      <c r="N197" s="42"/>
      <c r="O197" s="42"/>
      <c r="P197" s="45"/>
      <c r="Q197" s="42"/>
      <c r="R197" s="42"/>
      <c r="S197" s="42"/>
      <c r="T197" s="12">
        <f t="shared" si="69"/>
        <v>0</v>
      </c>
      <c r="U197" s="45"/>
      <c r="V197" s="12">
        <f>+T197*0</f>
        <v>0</v>
      </c>
      <c r="W197" s="12">
        <f t="shared" si="70"/>
        <v>0</v>
      </c>
      <c r="X197" s="116"/>
      <c r="Y197" s="117">
        <f t="shared" si="61"/>
        <v>0</v>
      </c>
      <c r="Z197" s="12"/>
      <c r="AA197" s="12">
        <f t="shared" si="49"/>
        <v>0</v>
      </c>
      <c r="AB197" s="12"/>
      <c r="AC197" s="12">
        <f t="shared" si="50"/>
        <v>0</v>
      </c>
      <c r="AD197" s="42"/>
      <c r="AE197" s="42"/>
    </row>
    <row r="198" spans="1:31" s="7" customFormat="1" ht="23.25">
      <c r="A198" s="42"/>
      <c r="B198" s="42"/>
      <c r="C198" s="45"/>
      <c r="D198" s="45"/>
      <c r="E198" s="45"/>
      <c r="F198" s="47"/>
      <c r="G198" s="42"/>
      <c r="H198" s="42"/>
      <c r="I198" s="44"/>
      <c r="J198" s="44">
        <f t="shared" si="68"/>
        <v>0</v>
      </c>
      <c r="K198" s="42"/>
      <c r="L198" s="42">
        <f t="shared" si="45"/>
        <v>0</v>
      </c>
      <c r="M198" s="42"/>
      <c r="N198" s="42"/>
      <c r="O198" s="42"/>
      <c r="P198" s="45"/>
      <c r="Q198" s="42"/>
      <c r="R198" s="42"/>
      <c r="S198" s="42"/>
      <c r="T198" s="12">
        <f t="shared" si="69"/>
        <v>0</v>
      </c>
      <c r="U198" s="45"/>
      <c r="V198" s="12">
        <f>+T198*0</f>
        <v>0</v>
      </c>
      <c r="W198" s="12">
        <f t="shared" si="70"/>
        <v>0</v>
      </c>
      <c r="X198" s="116"/>
      <c r="Y198" s="117">
        <f t="shared" si="61"/>
        <v>0</v>
      </c>
      <c r="Z198" s="12"/>
      <c r="AA198" s="12">
        <f t="shared" si="49"/>
        <v>0</v>
      </c>
      <c r="AB198" s="12"/>
      <c r="AC198" s="12">
        <f t="shared" si="50"/>
        <v>0</v>
      </c>
      <c r="AD198" s="42"/>
      <c r="AE198" s="42"/>
    </row>
    <row r="199" spans="1:31" s="7" customFormat="1" ht="23.25">
      <c r="A199" s="42" t="s">
        <v>0</v>
      </c>
      <c r="B199" s="42" t="s">
        <v>1</v>
      </c>
      <c r="C199" s="45" t="s">
        <v>1257</v>
      </c>
      <c r="D199" s="51" t="s">
        <v>864</v>
      </c>
      <c r="E199" s="29" t="s">
        <v>907</v>
      </c>
      <c r="F199" s="47" t="s">
        <v>137</v>
      </c>
      <c r="G199" s="42"/>
      <c r="H199" s="42"/>
      <c r="I199" s="44">
        <v>29.9</v>
      </c>
      <c r="J199" s="44">
        <f t="shared" si="68"/>
        <v>29.9</v>
      </c>
      <c r="K199" s="42">
        <v>10000</v>
      </c>
      <c r="L199" s="12">
        <f t="shared" si="45"/>
        <v>299000</v>
      </c>
      <c r="M199" s="42"/>
      <c r="N199" s="42" t="s">
        <v>60</v>
      </c>
      <c r="O199" s="101" t="s">
        <v>446</v>
      </c>
      <c r="P199" s="45" t="s">
        <v>137</v>
      </c>
      <c r="Q199" s="100">
        <v>128</v>
      </c>
      <c r="R199" s="100"/>
      <c r="S199" s="42">
        <v>7550</v>
      </c>
      <c r="T199" s="12">
        <f t="shared" si="69"/>
        <v>966400</v>
      </c>
      <c r="U199" s="102" t="s">
        <v>84</v>
      </c>
      <c r="V199" s="12">
        <f>+T199*0.2</f>
        <v>193280</v>
      </c>
      <c r="W199" s="12">
        <f t="shared" si="70"/>
        <v>773120</v>
      </c>
      <c r="X199" s="116"/>
      <c r="Y199" s="117">
        <f t="shared" si="61"/>
        <v>1072120</v>
      </c>
      <c r="Z199" s="12"/>
      <c r="AA199" s="12">
        <f t="shared" si="49"/>
        <v>1072120</v>
      </c>
      <c r="AB199" s="12">
        <v>0.02</v>
      </c>
      <c r="AC199" s="12">
        <f t="shared" si="50"/>
        <v>214.424</v>
      </c>
      <c r="AD199" s="42"/>
      <c r="AE199" s="42"/>
    </row>
    <row r="200" spans="1:31" s="7" customFormat="1" ht="23.25">
      <c r="A200" s="42"/>
      <c r="B200" s="42"/>
      <c r="C200" s="45"/>
      <c r="D200" s="45"/>
      <c r="E200" s="45"/>
      <c r="F200" s="47"/>
      <c r="G200" s="42"/>
      <c r="H200" s="42"/>
      <c r="I200" s="44"/>
      <c r="J200" s="44">
        <f t="shared" si="68"/>
        <v>0</v>
      </c>
      <c r="K200" s="42"/>
      <c r="L200" s="42">
        <f t="shared" si="45"/>
        <v>0</v>
      </c>
      <c r="M200" s="42"/>
      <c r="N200" s="5"/>
      <c r="O200" s="6"/>
      <c r="P200" s="13"/>
      <c r="Q200" s="6"/>
      <c r="R200" s="6"/>
      <c r="S200" s="5"/>
      <c r="T200" s="12">
        <f t="shared" si="69"/>
        <v>0</v>
      </c>
      <c r="U200" s="45"/>
      <c r="V200" s="12">
        <f>+T200*0</f>
        <v>0</v>
      </c>
      <c r="W200" s="12">
        <f t="shared" si="70"/>
        <v>0</v>
      </c>
      <c r="X200" s="116"/>
      <c r="Y200" s="117">
        <f t="shared" si="61"/>
        <v>0</v>
      </c>
      <c r="Z200" s="12"/>
      <c r="AA200" s="12">
        <f t="shared" si="49"/>
        <v>0</v>
      </c>
      <c r="AB200" s="12"/>
      <c r="AC200" s="12">
        <f t="shared" si="50"/>
        <v>0</v>
      </c>
      <c r="AD200" s="42"/>
      <c r="AE200" s="42"/>
    </row>
    <row r="201" spans="1:31" s="7" customFormat="1" ht="23.25">
      <c r="A201" s="42"/>
      <c r="B201" s="42"/>
      <c r="C201" s="45"/>
      <c r="D201" s="45"/>
      <c r="E201" s="45"/>
      <c r="F201" s="47"/>
      <c r="G201" s="42"/>
      <c r="H201" s="42"/>
      <c r="I201" s="44"/>
      <c r="J201" s="44">
        <f t="shared" si="68"/>
        <v>0</v>
      </c>
      <c r="K201" s="42"/>
      <c r="L201" s="42">
        <f t="shared" si="45"/>
        <v>0</v>
      </c>
      <c r="M201" s="42"/>
      <c r="N201" s="42"/>
      <c r="O201" s="42"/>
      <c r="P201" s="45"/>
      <c r="Q201" s="42"/>
      <c r="R201" s="42"/>
      <c r="S201" s="42"/>
      <c r="T201" s="12">
        <f t="shared" si="69"/>
        <v>0</v>
      </c>
      <c r="U201" s="45"/>
      <c r="V201" s="12">
        <f>+T201*0</f>
        <v>0</v>
      </c>
      <c r="W201" s="12">
        <f t="shared" si="70"/>
        <v>0</v>
      </c>
      <c r="X201" s="116"/>
      <c r="Y201" s="117">
        <f t="shared" si="61"/>
        <v>0</v>
      </c>
      <c r="Z201" s="12"/>
      <c r="AA201" s="12">
        <f t="shared" si="49"/>
        <v>0</v>
      </c>
      <c r="AB201" s="12"/>
      <c r="AC201" s="12">
        <f t="shared" si="50"/>
        <v>0</v>
      </c>
      <c r="AD201" s="42"/>
      <c r="AE201" s="42"/>
    </row>
    <row r="202" spans="1:31" s="7" customFormat="1" ht="23.25">
      <c r="A202" s="42" t="s">
        <v>0</v>
      </c>
      <c r="B202" s="42" t="s">
        <v>1</v>
      </c>
      <c r="C202" s="45" t="s">
        <v>1258</v>
      </c>
      <c r="D202" s="45" t="s">
        <v>865</v>
      </c>
      <c r="E202" s="29" t="s">
        <v>907</v>
      </c>
      <c r="F202" s="47" t="s">
        <v>140</v>
      </c>
      <c r="G202" s="42"/>
      <c r="H202" s="42"/>
      <c r="I202" s="44">
        <v>53.3</v>
      </c>
      <c r="J202" s="44">
        <f t="shared" si="68"/>
        <v>53.3</v>
      </c>
      <c r="K202" s="42">
        <v>6000</v>
      </c>
      <c r="L202" s="12">
        <f t="shared" si="45"/>
        <v>319800</v>
      </c>
      <c r="M202" s="42"/>
      <c r="N202" s="42"/>
      <c r="O202" s="100"/>
      <c r="P202" s="45"/>
      <c r="Q202" s="100"/>
      <c r="R202" s="100"/>
      <c r="S202" s="42"/>
      <c r="T202" s="12">
        <f t="shared" si="69"/>
        <v>0</v>
      </c>
      <c r="U202" s="45"/>
      <c r="V202" s="12">
        <f>+T202*0</f>
        <v>0</v>
      </c>
      <c r="W202" s="12">
        <f t="shared" si="70"/>
        <v>0</v>
      </c>
      <c r="X202" s="116"/>
      <c r="Y202" s="117">
        <f t="shared" si="61"/>
        <v>319800</v>
      </c>
      <c r="Z202" s="12"/>
      <c r="AA202" s="12">
        <f t="shared" si="49"/>
        <v>319800</v>
      </c>
      <c r="AB202" s="12">
        <v>0.3</v>
      </c>
      <c r="AC202" s="12">
        <f t="shared" si="50"/>
        <v>959.4</v>
      </c>
      <c r="AD202" s="42"/>
      <c r="AE202" s="12"/>
    </row>
    <row r="203" spans="1:31" s="7" customFormat="1" ht="23.25">
      <c r="A203" s="42"/>
      <c r="B203" s="42"/>
      <c r="C203" s="45"/>
      <c r="D203" s="45"/>
      <c r="E203" s="45"/>
      <c r="F203" s="47"/>
      <c r="G203" s="42"/>
      <c r="H203" s="42"/>
      <c r="I203" s="44"/>
      <c r="J203" s="44">
        <f t="shared" si="68"/>
        <v>0</v>
      </c>
      <c r="K203" s="42"/>
      <c r="L203" s="42">
        <f t="shared" si="45"/>
        <v>0</v>
      </c>
      <c r="M203" s="42"/>
      <c r="N203" s="42"/>
      <c r="O203" s="42"/>
      <c r="P203" s="45"/>
      <c r="Q203" s="42"/>
      <c r="R203" s="42"/>
      <c r="S203" s="42"/>
      <c r="T203" s="12">
        <f t="shared" si="69"/>
        <v>0</v>
      </c>
      <c r="U203" s="45"/>
      <c r="V203" s="12">
        <f>+T203*0</f>
        <v>0</v>
      </c>
      <c r="W203" s="12">
        <f t="shared" si="70"/>
        <v>0</v>
      </c>
      <c r="X203" s="116"/>
      <c r="Y203" s="117">
        <f t="shared" si="61"/>
        <v>0</v>
      </c>
      <c r="Z203" s="12"/>
      <c r="AA203" s="12">
        <f t="shared" si="49"/>
        <v>0</v>
      </c>
      <c r="AB203" s="12"/>
      <c r="AC203" s="12">
        <f t="shared" si="50"/>
        <v>0</v>
      </c>
      <c r="AD203" s="42"/>
      <c r="AE203" s="42"/>
    </row>
    <row r="204" spans="1:31" s="7" customFormat="1" ht="23.25">
      <c r="A204" s="42"/>
      <c r="B204" s="42"/>
      <c r="C204" s="45"/>
      <c r="D204" s="45"/>
      <c r="E204" s="45"/>
      <c r="F204" s="47"/>
      <c r="G204" s="42"/>
      <c r="H204" s="42"/>
      <c r="I204" s="44"/>
      <c r="J204" s="44">
        <f t="shared" si="68"/>
        <v>0</v>
      </c>
      <c r="K204" s="42"/>
      <c r="L204" s="42">
        <f t="shared" si="45"/>
        <v>0</v>
      </c>
      <c r="M204" s="42"/>
      <c r="N204" s="42"/>
      <c r="O204" s="42"/>
      <c r="P204" s="45"/>
      <c r="Q204" s="42"/>
      <c r="R204" s="42"/>
      <c r="S204" s="42"/>
      <c r="T204" s="12">
        <f t="shared" si="69"/>
        <v>0</v>
      </c>
      <c r="U204" s="45"/>
      <c r="V204" s="12">
        <f>+T204*0</f>
        <v>0</v>
      </c>
      <c r="W204" s="12">
        <f t="shared" si="70"/>
        <v>0</v>
      </c>
      <c r="X204" s="116"/>
      <c r="Y204" s="117">
        <f t="shared" si="61"/>
        <v>0</v>
      </c>
      <c r="Z204" s="12"/>
      <c r="AA204" s="12">
        <f t="shared" si="49"/>
        <v>0</v>
      </c>
      <c r="AB204" s="12"/>
      <c r="AC204" s="12">
        <f t="shared" si="50"/>
        <v>0</v>
      </c>
      <c r="AD204" s="42"/>
      <c r="AE204" s="42"/>
    </row>
    <row r="205" spans="1:31" s="7" customFormat="1" ht="23.25">
      <c r="A205" s="42" t="s">
        <v>0</v>
      </c>
      <c r="B205" s="42" t="s">
        <v>1</v>
      </c>
      <c r="C205" s="45" t="s">
        <v>1259</v>
      </c>
      <c r="D205" s="45" t="s">
        <v>866</v>
      </c>
      <c r="E205" s="29" t="s">
        <v>907</v>
      </c>
      <c r="F205" s="47" t="s">
        <v>137</v>
      </c>
      <c r="G205" s="42"/>
      <c r="H205" s="42"/>
      <c r="I205" s="44">
        <v>24.9</v>
      </c>
      <c r="J205" s="44">
        <f t="shared" si="68"/>
        <v>24.9</v>
      </c>
      <c r="K205" s="42">
        <v>15000</v>
      </c>
      <c r="L205" s="12">
        <f t="shared" si="45"/>
        <v>373500</v>
      </c>
      <c r="M205" s="42"/>
      <c r="N205" s="42" t="s">
        <v>62</v>
      </c>
      <c r="O205" s="101" t="s">
        <v>446</v>
      </c>
      <c r="P205" s="45" t="s">
        <v>137</v>
      </c>
      <c r="Q205" s="100">
        <v>96</v>
      </c>
      <c r="R205" s="100"/>
      <c r="S205" s="42">
        <v>6750</v>
      </c>
      <c r="T205" s="12">
        <f t="shared" si="69"/>
        <v>648000</v>
      </c>
      <c r="U205" s="102" t="s">
        <v>84</v>
      </c>
      <c r="V205" s="12">
        <f>+T205*0.2</f>
        <v>129600</v>
      </c>
      <c r="W205" s="12">
        <f t="shared" si="70"/>
        <v>518400</v>
      </c>
      <c r="X205" s="116"/>
      <c r="Y205" s="117">
        <f t="shared" si="61"/>
        <v>891900</v>
      </c>
      <c r="Z205" s="12"/>
      <c r="AA205" s="12">
        <f t="shared" si="49"/>
        <v>891900</v>
      </c>
      <c r="AB205" s="12">
        <v>0.02</v>
      </c>
      <c r="AC205" s="12">
        <f t="shared" si="50"/>
        <v>178.38</v>
      </c>
      <c r="AD205" s="42"/>
      <c r="AE205" s="12"/>
    </row>
    <row r="206" spans="1:31" s="7" customFormat="1" ht="23.25">
      <c r="A206" s="42" t="s">
        <v>0</v>
      </c>
      <c r="B206" s="42" t="s">
        <v>1</v>
      </c>
      <c r="C206" s="45" t="s">
        <v>1260</v>
      </c>
      <c r="D206" s="51" t="s">
        <v>867</v>
      </c>
      <c r="E206" s="29" t="s">
        <v>907</v>
      </c>
      <c r="F206" s="47" t="s">
        <v>140</v>
      </c>
      <c r="G206" s="42"/>
      <c r="H206" s="42"/>
      <c r="I206" s="44">
        <v>74.7</v>
      </c>
      <c r="J206" s="44">
        <f t="shared" si="68"/>
        <v>74.7</v>
      </c>
      <c r="K206" s="42">
        <v>23500</v>
      </c>
      <c r="L206" s="12">
        <f aca="true" t="shared" si="71" ref="L206:L259">+K206*J206</f>
        <v>1755450</v>
      </c>
      <c r="M206" s="42"/>
      <c r="N206" s="42"/>
      <c r="O206" s="100"/>
      <c r="P206" s="45"/>
      <c r="Q206" s="100"/>
      <c r="R206" s="100"/>
      <c r="S206" s="42"/>
      <c r="T206" s="12">
        <f t="shared" si="69"/>
        <v>0</v>
      </c>
      <c r="U206" s="45"/>
      <c r="V206" s="12">
        <f>+T206*0</f>
        <v>0</v>
      </c>
      <c r="W206" s="12">
        <f t="shared" si="70"/>
        <v>0</v>
      </c>
      <c r="X206" s="116"/>
      <c r="Y206" s="117">
        <f t="shared" si="61"/>
        <v>1755450</v>
      </c>
      <c r="Z206" s="12"/>
      <c r="AA206" s="12">
        <f t="shared" si="49"/>
        <v>1755450</v>
      </c>
      <c r="AB206" s="12">
        <v>0.3</v>
      </c>
      <c r="AC206" s="12">
        <f t="shared" si="50"/>
        <v>5266.35</v>
      </c>
      <c r="AD206" s="42"/>
      <c r="AE206" s="12"/>
    </row>
    <row r="207" spans="1:31" s="7" customFormat="1" ht="23.25">
      <c r="A207" s="42" t="s">
        <v>0</v>
      </c>
      <c r="B207" s="42" t="s">
        <v>1</v>
      </c>
      <c r="C207" s="45" t="s">
        <v>1261</v>
      </c>
      <c r="D207" s="45" t="s">
        <v>868</v>
      </c>
      <c r="E207" s="29" t="s">
        <v>907</v>
      </c>
      <c r="F207" s="47" t="s">
        <v>140</v>
      </c>
      <c r="G207" s="42"/>
      <c r="H207" s="42"/>
      <c r="I207" s="44">
        <v>20.3</v>
      </c>
      <c r="J207" s="44">
        <f t="shared" si="68"/>
        <v>20.3</v>
      </c>
      <c r="K207" s="42">
        <v>10000</v>
      </c>
      <c r="L207" s="12">
        <f t="shared" si="71"/>
        <v>203000</v>
      </c>
      <c r="M207" s="42"/>
      <c r="N207" s="42"/>
      <c r="O207" s="42"/>
      <c r="P207" s="45"/>
      <c r="Q207" s="42"/>
      <c r="R207" s="42"/>
      <c r="S207" s="42"/>
      <c r="T207" s="12">
        <f t="shared" si="69"/>
        <v>0</v>
      </c>
      <c r="U207" s="45"/>
      <c r="V207" s="12">
        <f>+T207*0</f>
        <v>0</v>
      </c>
      <c r="W207" s="12">
        <f t="shared" si="70"/>
        <v>0</v>
      </c>
      <c r="X207" s="116"/>
      <c r="Y207" s="117">
        <f t="shared" si="61"/>
        <v>203000</v>
      </c>
      <c r="Z207" s="12"/>
      <c r="AA207" s="12">
        <f t="shared" si="49"/>
        <v>203000</v>
      </c>
      <c r="AB207" s="12">
        <v>0.3</v>
      </c>
      <c r="AC207" s="12">
        <f t="shared" si="50"/>
        <v>609</v>
      </c>
      <c r="AD207" s="42"/>
      <c r="AE207" s="12"/>
    </row>
    <row r="208" spans="1:31" s="7" customFormat="1" ht="23.25">
      <c r="A208" s="42" t="s">
        <v>0</v>
      </c>
      <c r="B208" s="42" t="s">
        <v>1</v>
      </c>
      <c r="C208" s="45" t="s">
        <v>1262</v>
      </c>
      <c r="D208" s="45" t="s">
        <v>869</v>
      </c>
      <c r="E208" s="29" t="s">
        <v>907</v>
      </c>
      <c r="F208" s="47" t="s">
        <v>137</v>
      </c>
      <c r="G208" s="42"/>
      <c r="H208" s="42"/>
      <c r="I208" s="44">
        <v>80.9</v>
      </c>
      <c r="J208" s="44">
        <f t="shared" si="68"/>
        <v>80.9</v>
      </c>
      <c r="K208" s="42">
        <v>15000</v>
      </c>
      <c r="L208" s="12">
        <f t="shared" si="71"/>
        <v>1213500</v>
      </c>
      <c r="M208" s="42"/>
      <c r="N208" s="42" t="s">
        <v>64</v>
      </c>
      <c r="O208" s="101" t="s">
        <v>446</v>
      </c>
      <c r="P208" s="45" t="s">
        <v>137</v>
      </c>
      <c r="Q208" s="100">
        <v>156</v>
      </c>
      <c r="R208" s="100"/>
      <c r="S208" s="42">
        <v>6550</v>
      </c>
      <c r="T208" s="12">
        <f t="shared" si="69"/>
        <v>1021800</v>
      </c>
      <c r="U208" s="102" t="s">
        <v>86</v>
      </c>
      <c r="V208" s="12">
        <f>+T208*0.26</f>
        <v>265668</v>
      </c>
      <c r="W208" s="12">
        <f t="shared" si="70"/>
        <v>756132</v>
      </c>
      <c r="X208" s="116"/>
      <c r="Y208" s="117">
        <f t="shared" si="61"/>
        <v>1969632</v>
      </c>
      <c r="Z208" s="12">
        <f>+Y208</f>
        <v>1969632</v>
      </c>
      <c r="AA208" s="12">
        <f t="shared" si="49"/>
        <v>0</v>
      </c>
      <c r="AB208" s="12"/>
      <c r="AC208" s="12">
        <f t="shared" si="50"/>
        <v>0</v>
      </c>
      <c r="AD208" s="31" t="s">
        <v>906</v>
      </c>
      <c r="AE208" s="12"/>
    </row>
    <row r="209" spans="1:31" s="7" customFormat="1" ht="23.25">
      <c r="A209" s="42" t="s">
        <v>0</v>
      </c>
      <c r="B209" s="42" t="s">
        <v>1</v>
      </c>
      <c r="C209" s="45" t="s">
        <v>1263</v>
      </c>
      <c r="D209" s="45" t="s">
        <v>870</v>
      </c>
      <c r="E209" s="29" t="s">
        <v>907</v>
      </c>
      <c r="F209" s="47" t="s">
        <v>140</v>
      </c>
      <c r="G209" s="42"/>
      <c r="H209" s="42"/>
      <c r="I209" s="44">
        <v>48.5</v>
      </c>
      <c r="J209" s="44">
        <f t="shared" si="68"/>
        <v>48.5</v>
      </c>
      <c r="K209" s="42">
        <v>15000</v>
      </c>
      <c r="L209" s="12">
        <f>+K209*J209</f>
        <v>727500</v>
      </c>
      <c r="M209" s="42"/>
      <c r="N209" s="42"/>
      <c r="O209" s="100"/>
      <c r="P209" s="45"/>
      <c r="Q209" s="100"/>
      <c r="R209" s="100"/>
      <c r="S209" s="42"/>
      <c r="T209" s="12">
        <f t="shared" si="69"/>
        <v>0</v>
      </c>
      <c r="U209" s="45"/>
      <c r="V209" s="12">
        <f>+T209*0</f>
        <v>0</v>
      </c>
      <c r="W209" s="12">
        <f t="shared" si="70"/>
        <v>0</v>
      </c>
      <c r="X209" s="116"/>
      <c r="Y209" s="117">
        <f t="shared" si="61"/>
        <v>727500</v>
      </c>
      <c r="Z209" s="12"/>
      <c r="AA209" s="12">
        <f>+Y209-Z209</f>
        <v>727500</v>
      </c>
      <c r="AB209" s="12">
        <v>0.3</v>
      </c>
      <c r="AC209" s="12">
        <f>+AA209*AB209/100</f>
        <v>2182.5</v>
      </c>
      <c r="AD209" s="42"/>
      <c r="AE209" s="12"/>
    </row>
    <row r="210" spans="1:31" s="7" customFormat="1" ht="23.25">
      <c r="A210" s="42" t="s">
        <v>0</v>
      </c>
      <c r="B210" s="42" t="s">
        <v>1</v>
      </c>
      <c r="C210" s="45" t="s">
        <v>1264</v>
      </c>
      <c r="D210" s="45" t="s">
        <v>871</v>
      </c>
      <c r="E210" s="30" t="s">
        <v>908</v>
      </c>
      <c r="F210" s="47" t="s">
        <v>137</v>
      </c>
      <c r="G210" s="42"/>
      <c r="H210" s="42"/>
      <c r="I210" s="44">
        <v>31.7</v>
      </c>
      <c r="J210" s="44">
        <f t="shared" si="68"/>
        <v>31.7</v>
      </c>
      <c r="K210" s="42">
        <v>50000</v>
      </c>
      <c r="L210" s="12">
        <f t="shared" si="71"/>
        <v>1585000</v>
      </c>
      <c r="M210" s="42"/>
      <c r="N210" s="42" t="s">
        <v>60</v>
      </c>
      <c r="O210" s="101" t="s">
        <v>446</v>
      </c>
      <c r="P210" s="45" t="s">
        <v>137</v>
      </c>
      <c r="Q210" s="100">
        <v>384</v>
      </c>
      <c r="R210" s="100"/>
      <c r="S210" s="42">
        <v>7550</v>
      </c>
      <c r="T210" s="12">
        <f t="shared" si="69"/>
        <v>2899200</v>
      </c>
      <c r="U210" s="102" t="s">
        <v>84</v>
      </c>
      <c r="V210" s="12">
        <f>+T210*0.2</f>
        <v>579840</v>
      </c>
      <c r="W210" s="12">
        <f t="shared" si="70"/>
        <v>2319360</v>
      </c>
      <c r="X210" s="116"/>
      <c r="Y210" s="117">
        <f t="shared" si="61"/>
        <v>3904360</v>
      </c>
      <c r="Z210" s="12">
        <f>+Y210</f>
        <v>3904360</v>
      </c>
      <c r="AA210" s="12">
        <f t="shared" si="49"/>
        <v>0</v>
      </c>
      <c r="AB210" s="12"/>
      <c r="AC210" s="12">
        <f t="shared" si="50"/>
        <v>0</v>
      </c>
      <c r="AD210" s="31" t="s">
        <v>906</v>
      </c>
      <c r="AE210" s="42"/>
    </row>
    <row r="211" spans="1:31" s="7" customFormat="1" ht="23.25">
      <c r="A211" s="42"/>
      <c r="B211" s="42"/>
      <c r="C211" s="45"/>
      <c r="D211" s="45"/>
      <c r="E211" s="45"/>
      <c r="F211" s="47"/>
      <c r="G211" s="42"/>
      <c r="H211" s="42"/>
      <c r="I211" s="44"/>
      <c r="J211" s="44">
        <f t="shared" si="68"/>
        <v>0</v>
      </c>
      <c r="K211" s="42"/>
      <c r="L211" s="42">
        <f t="shared" si="71"/>
        <v>0</v>
      </c>
      <c r="M211" s="42"/>
      <c r="N211" s="5"/>
      <c r="O211" s="6"/>
      <c r="P211" s="13"/>
      <c r="Q211" s="6"/>
      <c r="R211" s="6"/>
      <c r="S211" s="5"/>
      <c r="T211" s="12">
        <f t="shared" si="69"/>
        <v>0</v>
      </c>
      <c r="U211" s="45"/>
      <c r="V211" s="12">
        <f>+T211*0</f>
        <v>0</v>
      </c>
      <c r="W211" s="12">
        <f t="shared" si="70"/>
        <v>0</v>
      </c>
      <c r="X211" s="116"/>
      <c r="Y211" s="117">
        <f t="shared" si="61"/>
        <v>0</v>
      </c>
      <c r="Z211" s="12"/>
      <c r="AA211" s="12">
        <f t="shared" si="49"/>
        <v>0</v>
      </c>
      <c r="AB211" s="12"/>
      <c r="AC211" s="12">
        <f t="shared" si="50"/>
        <v>0</v>
      </c>
      <c r="AD211" s="42"/>
      <c r="AE211" s="42"/>
    </row>
    <row r="212" spans="1:31" s="7" customFormat="1" ht="23.25">
      <c r="A212" s="42"/>
      <c r="B212" s="42"/>
      <c r="C212" s="45"/>
      <c r="D212" s="45"/>
      <c r="E212" s="45"/>
      <c r="F212" s="47"/>
      <c r="G212" s="42"/>
      <c r="H212" s="42"/>
      <c r="I212" s="44"/>
      <c r="J212" s="44">
        <f t="shared" si="68"/>
        <v>0</v>
      </c>
      <c r="K212" s="42"/>
      <c r="L212" s="42">
        <f t="shared" si="71"/>
        <v>0</v>
      </c>
      <c r="M212" s="42"/>
      <c r="N212" s="42"/>
      <c r="O212" s="42"/>
      <c r="P212" s="45"/>
      <c r="Q212" s="42"/>
      <c r="R212" s="42"/>
      <c r="S212" s="42"/>
      <c r="T212" s="12">
        <f t="shared" si="69"/>
        <v>0</v>
      </c>
      <c r="U212" s="45"/>
      <c r="V212" s="12">
        <f>+T212*0</f>
        <v>0</v>
      </c>
      <c r="W212" s="12">
        <f t="shared" si="70"/>
        <v>0</v>
      </c>
      <c r="X212" s="116"/>
      <c r="Y212" s="117">
        <f t="shared" si="61"/>
        <v>0</v>
      </c>
      <c r="Z212" s="12"/>
      <c r="AA212" s="12">
        <f t="shared" si="49"/>
        <v>0</v>
      </c>
      <c r="AB212" s="12"/>
      <c r="AC212" s="12">
        <f t="shared" si="50"/>
        <v>0</v>
      </c>
      <c r="AD212" s="42"/>
      <c r="AE212" s="42"/>
    </row>
    <row r="213" spans="1:31" s="7" customFormat="1" ht="23.25">
      <c r="A213" s="42" t="s">
        <v>0</v>
      </c>
      <c r="B213" s="42" t="s">
        <v>1</v>
      </c>
      <c r="C213" s="45" t="s">
        <v>1265</v>
      </c>
      <c r="D213" s="45" t="s">
        <v>872</v>
      </c>
      <c r="E213" s="29" t="s">
        <v>907</v>
      </c>
      <c r="F213" s="47" t="s">
        <v>137</v>
      </c>
      <c r="G213" s="42"/>
      <c r="H213" s="42"/>
      <c r="I213" s="44">
        <v>20.8</v>
      </c>
      <c r="J213" s="44">
        <f t="shared" si="68"/>
        <v>20.8</v>
      </c>
      <c r="K213" s="42">
        <v>40000</v>
      </c>
      <c r="L213" s="12">
        <f t="shared" si="71"/>
        <v>832000</v>
      </c>
      <c r="M213" s="42"/>
      <c r="N213" s="42" t="s">
        <v>60</v>
      </c>
      <c r="O213" s="101" t="s">
        <v>446</v>
      </c>
      <c r="P213" s="45" t="s">
        <v>137</v>
      </c>
      <c r="Q213" s="100">
        <v>167</v>
      </c>
      <c r="R213" s="100"/>
      <c r="S213" s="42">
        <v>7550</v>
      </c>
      <c r="T213" s="12">
        <f t="shared" si="69"/>
        <v>1260850</v>
      </c>
      <c r="U213" s="102" t="s">
        <v>84</v>
      </c>
      <c r="V213" s="12">
        <f>+T213*0.2</f>
        <v>252170</v>
      </c>
      <c r="W213" s="12">
        <f t="shared" si="70"/>
        <v>1008680</v>
      </c>
      <c r="X213" s="116"/>
      <c r="Y213" s="117">
        <f t="shared" si="61"/>
        <v>1840680</v>
      </c>
      <c r="Z213" s="12">
        <f>+Y213</f>
        <v>1840680</v>
      </c>
      <c r="AA213" s="12">
        <f t="shared" si="49"/>
        <v>0</v>
      </c>
      <c r="AB213" s="12"/>
      <c r="AC213" s="12">
        <f t="shared" si="50"/>
        <v>0</v>
      </c>
      <c r="AD213" s="31" t="s">
        <v>906</v>
      </c>
      <c r="AE213" s="42"/>
    </row>
    <row r="214" spans="1:31" s="7" customFormat="1" ht="23.25">
      <c r="A214" s="42"/>
      <c r="B214" s="42"/>
      <c r="C214" s="45"/>
      <c r="D214" s="45"/>
      <c r="E214" s="45"/>
      <c r="F214" s="47"/>
      <c r="G214" s="42"/>
      <c r="H214" s="42"/>
      <c r="I214" s="44"/>
      <c r="J214" s="44">
        <f t="shared" si="68"/>
        <v>0</v>
      </c>
      <c r="K214" s="42"/>
      <c r="L214" s="42">
        <f t="shared" si="71"/>
        <v>0</v>
      </c>
      <c r="M214" s="42"/>
      <c r="N214" s="42"/>
      <c r="O214" s="42"/>
      <c r="P214" s="45"/>
      <c r="Q214" s="42"/>
      <c r="R214" s="42"/>
      <c r="S214" s="42"/>
      <c r="T214" s="12">
        <f t="shared" si="69"/>
        <v>0</v>
      </c>
      <c r="U214" s="45"/>
      <c r="V214" s="12">
        <f>+T214*0</f>
        <v>0</v>
      </c>
      <c r="W214" s="12">
        <f t="shared" si="70"/>
        <v>0</v>
      </c>
      <c r="X214" s="116"/>
      <c r="Y214" s="117">
        <f t="shared" si="61"/>
        <v>0</v>
      </c>
      <c r="Z214" s="12"/>
      <c r="AA214" s="12">
        <f t="shared" si="49"/>
        <v>0</v>
      </c>
      <c r="AB214" s="12"/>
      <c r="AC214" s="12">
        <f t="shared" si="50"/>
        <v>0</v>
      </c>
      <c r="AD214" s="42"/>
      <c r="AE214" s="42"/>
    </row>
    <row r="215" spans="1:31" s="7" customFormat="1" ht="23.25">
      <c r="A215" s="42" t="s">
        <v>0</v>
      </c>
      <c r="B215" s="42" t="s">
        <v>1</v>
      </c>
      <c r="C215" s="45" t="s">
        <v>1266</v>
      </c>
      <c r="D215" s="45" t="s">
        <v>873</v>
      </c>
      <c r="E215" s="29" t="s">
        <v>907</v>
      </c>
      <c r="F215" s="47" t="s">
        <v>137</v>
      </c>
      <c r="G215" s="42"/>
      <c r="H215" s="42"/>
      <c r="I215" s="44">
        <v>41.5</v>
      </c>
      <c r="J215" s="44">
        <f t="shared" si="68"/>
        <v>41.5</v>
      </c>
      <c r="K215" s="42">
        <v>15000</v>
      </c>
      <c r="L215" s="12">
        <f t="shared" si="71"/>
        <v>622500</v>
      </c>
      <c r="M215" s="42"/>
      <c r="N215" s="42" t="s">
        <v>60</v>
      </c>
      <c r="O215" s="101" t="s">
        <v>446</v>
      </c>
      <c r="P215" s="45" t="s">
        <v>137</v>
      </c>
      <c r="Q215" s="100">
        <v>50.75</v>
      </c>
      <c r="R215" s="100"/>
      <c r="S215" s="42">
        <v>7550</v>
      </c>
      <c r="T215" s="12">
        <f t="shared" si="69"/>
        <v>383162.5</v>
      </c>
      <c r="U215" s="45" t="s">
        <v>187</v>
      </c>
      <c r="V215" s="12">
        <f>+T215*0.08</f>
        <v>30653</v>
      </c>
      <c r="W215" s="12">
        <f t="shared" si="70"/>
        <v>352509.5</v>
      </c>
      <c r="X215" s="116"/>
      <c r="Y215" s="117">
        <f t="shared" si="61"/>
        <v>975009.5</v>
      </c>
      <c r="Z215" s="12">
        <f>+Y215</f>
        <v>975009.5</v>
      </c>
      <c r="AA215" s="12">
        <f t="shared" si="49"/>
        <v>0</v>
      </c>
      <c r="AB215" s="12"/>
      <c r="AC215" s="12">
        <f t="shared" si="50"/>
        <v>0</v>
      </c>
      <c r="AD215" s="31" t="s">
        <v>906</v>
      </c>
      <c r="AE215" s="42"/>
    </row>
    <row r="216" spans="1:31" s="7" customFormat="1" ht="23.25">
      <c r="A216" s="42"/>
      <c r="B216" s="42"/>
      <c r="C216" s="45"/>
      <c r="D216" s="45"/>
      <c r="E216" s="45"/>
      <c r="F216" s="47"/>
      <c r="G216" s="42"/>
      <c r="H216" s="42"/>
      <c r="I216" s="44"/>
      <c r="J216" s="44">
        <f t="shared" si="68"/>
        <v>0</v>
      </c>
      <c r="K216" s="42"/>
      <c r="L216" s="42">
        <f t="shared" si="71"/>
        <v>0</v>
      </c>
      <c r="M216" s="42"/>
      <c r="N216" s="42"/>
      <c r="O216" s="42"/>
      <c r="P216" s="45"/>
      <c r="Q216" s="42"/>
      <c r="R216" s="42"/>
      <c r="S216" s="42"/>
      <c r="T216" s="12">
        <f t="shared" si="69"/>
        <v>0</v>
      </c>
      <c r="U216" s="45"/>
      <c r="V216" s="12">
        <f>+T216*0</f>
        <v>0</v>
      </c>
      <c r="W216" s="12">
        <f t="shared" si="70"/>
        <v>0</v>
      </c>
      <c r="X216" s="116"/>
      <c r="Y216" s="117">
        <f t="shared" si="61"/>
        <v>0</v>
      </c>
      <c r="Z216" s="12"/>
      <c r="AA216" s="12">
        <f t="shared" si="49"/>
        <v>0</v>
      </c>
      <c r="AB216" s="12"/>
      <c r="AC216" s="12">
        <f t="shared" si="50"/>
        <v>0</v>
      </c>
      <c r="AD216" s="42"/>
      <c r="AE216" s="42"/>
    </row>
    <row r="217" spans="1:31" s="7" customFormat="1" ht="23.25">
      <c r="A217" s="42" t="s">
        <v>0</v>
      </c>
      <c r="B217" s="42" t="s">
        <v>1</v>
      </c>
      <c r="C217" s="45" t="s">
        <v>1267</v>
      </c>
      <c r="D217" s="45" t="s">
        <v>874</v>
      </c>
      <c r="E217" s="29" t="s">
        <v>907</v>
      </c>
      <c r="F217" s="47" t="s">
        <v>137</v>
      </c>
      <c r="G217" s="42"/>
      <c r="H217" s="42"/>
      <c r="I217" s="44">
        <v>17.6</v>
      </c>
      <c r="J217" s="44">
        <f t="shared" si="68"/>
        <v>17.6</v>
      </c>
      <c r="K217" s="42">
        <v>50000</v>
      </c>
      <c r="L217" s="12">
        <f t="shared" si="71"/>
        <v>880000.0000000001</v>
      </c>
      <c r="M217" s="42"/>
      <c r="N217" s="42" t="s">
        <v>302</v>
      </c>
      <c r="O217" s="101" t="s">
        <v>446</v>
      </c>
      <c r="P217" s="45" t="s">
        <v>137</v>
      </c>
      <c r="Q217" s="100">
        <v>144</v>
      </c>
      <c r="R217" s="100"/>
      <c r="S217" s="42">
        <v>7550</v>
      </c>
      <c r="T217" s="12">
        <f t="shared" si="69"/>
        <v>1087200</v>
      </c>
      <c r="U217" s="102" t="s">
        <v>82</v>
      </c>
      <c r="V217" s="12">
        <f>+T217*0.16</f>
        <v>173952</v>
      </c>
      <c r="W217" s="12">
        <f t="shared" si="70"/>
        <v>913248</v>
      </c>
      <c r="X217" s="116"/>
      <c r="Y217" s="117">
        <f t="shared" si="61"/>
        <v>1793248</v>
      </c>
      <c r="Z217" s="12"/>
      <c r="AA217" s="12">
        <f t="shared" si="49"/>
        <v>1793248</v>
      </c>
      <c r="AB217" s="12">
        <v>0.02</v>
      </c>
      <c r="AC217" s="12">
        <f t="shared" si="50"/>
        <v>358.64959999999996</v>
      </c>
      <c r="AD217" s="42"/>
      <c r="AE217" s="42"/>
    </row>
    <row r="218" spans="1:31" s="7" customFormat="1" ht="23.25">
      <c r="A218" s="42" t="s">
        <v>0</v>
      </c>
      <c r="B218" s="42" t="s">
        <v>1</v>
      </c>
      <c r="C218" s="45" t="s">
        <v>1268</v>
      </c>
      <c r="D218" s="45" t="s">
        <v>875</v>
      </c>
      <c r="E218" s="30" t="s">
        <v>908</v>
      </c>
      <c r="F218" s="47" t="s">
        <v>137</v>
      </c>
      <c r="G218" s="42"/>
      <c r="H218" s="42"/>
      <c r="I218" s="44">
        <v>48.9</v>
      </c>
      <c r="J218" s="44">
        <f t="shared" si="68"/>
        <v>48.9</v>
      </c>
      <c r="K218" s="42">
        <v>10000</v>
      </c>
      <c r="L218" s="12">
        <f t="shared" si="71"/>
        <v>489000</v>
      </c>
      <c r="M218" s="42"/>
      <c r="N218" s="42" t="s">
        <v>461</v>
      </c>
      <c r="O218" s="104" t="s">
        <v>446</v>
      </c>
      <c r="P218" s="45" t="s">
        <v>137</v>
      </c>
      <c r="Q218" s="104">
        <f>56*3</f>
        <v>168</v>
      </c>
      <c r="R218" s="100"/>
      <c r="S218" s="42">
        <v>6650</v>
      </c>
      <c r="T218" s="12">
        <f t="shared" si="69"/>
        <v>1117200</v>
      </c>
      <c r="U218" s="102" t="s">
        <v>78</v>
      </c>
      <c r="V218" s="12">
        <f>+T218*0.24</f>
        <v>268128</v>
      </c>
      <c r="W218" s="12">
        <f t="shared" si="70"/>
        <v>849072</v>
      </c>
      <c r="X218" s="116"/>
      <c r="Y218" s="117">
        <f t="shared" si="61"/>
        <v>1338072</v>
      </c>
      <c r="Z218" s="12"/>
      <c r="AA218" s="12">
        <f t="shared" si="49"/>
        <v>1338072</v>
      </c>
      <c r="AB218" s="12">
        <v>0.02</v>
      </c>
      <c r="AC218" s="12">
        <f t="shared" si="50"/>
        <v>267.61440000000005</v>
      </c>
      <c r="AD218" s="42"/>
      <c r="AE218" s="42"/>
    </row>
    <row r="219" spans="1:31" s="7" customFormat="1" ht="23.25">
      <c r="A219" s="42" t="s">
        <v>0</v>
      </c>
      <c r="B219" s="42" t="s">
        <v>1</v>
      </c>
      <c r="C219" s="45" t="s">
        <v>1269</v>
      </c>
      <c r="D219" s="45" t="s">
        <v>876</v>
      </c>
      <c r="E219" s="30" t="s">
        <v>908</v>
      </c>
      <c r="F219" s="47" t="s">
        <v>177</v>
      </c>
      <c r="G219" s="42"/>
      <c r="H219" s="42">
        <v>1</v>
      </c>
      <c r="I219" s="44">
        <v>64.2</v>
      </c>
      <c r="J219" s="44">
        <f t="shared" si="68"/>
        <v>164.2</v>
      </c>
      <c r="K219" s="42">
        <v>8000</v>
      </c>
      <c r="L219" s="12">
        <f t="shared" si="71"/>
        <v>1313600</v>
      </c>
      <c r="M219" s="42"/>
      <c r="N219" s="42"/>
      <c r="O219" s="42"/>
      <c r="P219" s="45"/>
      <c r="Q219" s="42"/>
      <c r="R219" s="42"/>
      <c r="S219" s="42"/>
      <c r="T219" s="12">
        <f t="shared" si="69"/>
        <v>0</v>
      </c>
      <c r="U219" s="45"/>
      <c r="V219" s="12">
        <f>+T219*0</f>
        <v>0</v>
      </c>
      <c r="W219" s="12">
        <f t="shared" si="70"/>
        <v>0</v>
      </c>
      <c r="X219" s="116"/>
      <c r="Y219" s="117">
        <f t="shared" si="61"/>
        <v>1313600</v>
      </c>
      <c r="Z219" s="12">
        <f>+Y219</f>
        <v>1313600</v>
      </c>
      <c r="AA219" s="12">
        <f aca="true" t="shared" si="72" ref="AA219:AA261">+Y219-Z219</f>
        <v>0</v>
      </c>
      <c r="AB219" s="12"/>
      <c r="AC219" s="12">
        <f aca="true" t="shared" si="73" ref="AC219:AC228">+AA219*AB219/100</f>
        <v>0</v>
      </c>
      <c r="AD219" s="42"/>
      <c r="AE219" s="42"/>
    </row>
    <row r="220" spans="1:31" s="7" customFormat="1" ht="23.25">
      <c r="A220" s="42" t="s">
        <v>0</v>
      </c>
      <c r="B220" s="42" t="s">
        <v>1</v>
      </c>
      <c r="C220" s="45" t="s">
        <v>1270</v>
      </c>
      <c r="D220" s="45" t="s">
        <v>877</v>
      </c>
      <c r="E220" s="30" t="s">
        <v>908</v>
      </c>
      <c r="F220" s="47" t="s">
        <v>137</v>
      </c>
      <c r="G220" s="42"/>
      <c r="H220" s="42">
        <v>3</v>
      </c>
      <c r="I220" s="44">
        <v>50.7</v>
      </c>
      <c r="J220" s="44">
        <f t="shared" si="68"/>
        <v>350.7</v>
      </c>
      <c r="K220" s="42">
        <v>7200</v>
      </c>
      <c r="L220" s="12">
        <f t="shared" si="71"/>
        <v>2525040</v>
      </c>
      <c r="M220" s="42"/>
      <c r="N220" s="42" t="s">
        <v>64</v>
      </c>
      <c r="O220" s="101" t="s">
        <v>454</v>
      </c>
      <c r="P220" s="45" t="s">
        <v>137</v>
      </c>
      <c r="Q220" s="100">
        <v>180</v>
      </c>
      <c r="R220" s="100"/>
      <c r="S220" s="42">
        <v>6550</v>
      </c>
      <c r="T220" s="12">
        <f t="shared" si="69"/>
        <v>1179000</v>
      </c>
      <c r="U220" s="102" t="s">
        <v>459</v>
      </c>
      <c r="V220" s="12">
        <f>+T220*0.93</f>
        <v>1096470</v>
      </c>
      <c r="W220" s="12">
        <f t="shared" si="70"/>
        <v>82530</v>
      </c>
      <c r="X220" s="116"/>
      <c r="Y220" s="117">
        <f>+L220+W220</f>
        <v>2607570</v>
      </c>
      <c r="Z220" s="12">
        <f>+Y220</f>
        <v>2607570</v>
      </c>
      <c r="AA220" s="12">
        <f t="shared" si="72"/>
        <v>0</v>
      </c>
      <c r="AB220" s="12"/>
      <c r="AC220" s="12">
        <f t="shared" si="73"/>
        <v>0</v>
      </c>
      <c r="AD220" s="31" t="s">
        <v>906</v>
      </c>
      <c r="AE220" s="42"/>
    </row>
    <row r="221" spans="1:31" s="7" customFormat="1" ht="23.25">
      <c r="A221" s="42"/>
      <c r="B221" s="42"/>
      <c r="C221" s="45"/>
      <c r="D221" s="45"/>
      <c r="E221" s="45"/>
      <c r="F221" s="47"/>
      <c r="G221" s="42"/>
      <c r="H221" s="42"/>
      <c r="I221" s="44"/>
      <c r="J221" s="44">
        <f t="shared" si="68"/>
        <v>0</v>
      </c>
      <c r="K221" s="42"/>
      <c r="L221" s="42">
        <f>+K221*J221</f>
        <v>0</v>
      </c>
      <c r="M221" s="42"/>
      <c r="N221" s="42"/>
      <c r="O221" s="42"/>
      <c r="P221" s="45"/>
      <c r="Q221" s="42"/>
      <c r="R221" s="42"/>
      <c r="S221" s="42"/>
      <c r="T221" s="12">
        <f t="shared" si="69"/>
        <v>0</v>
      </c>
      <c r="U221" s="45"/>
      <c r="V221" s="12">
        <f>+T221*0</f>
        <v>0</v>
      </c>
      <c r="W221" s="12">
        <f t="shared" si="70"/>
        <v>0</v>
      </c>
      <c r="X221" s="116"/>
      <c r="Y221" s="117">
        <f>+L221+W221</f>
        <v>0</v>
      </c>
      <c r="Z221" s="12"/>
      <c r="AA221" s="12">
        <f t="shared" si="72"/>
        <v>0</v>
      </c>
      <c r="AB221" s="12"/>
      <c r="AC221" s="12">
        <f t="shared" si="73"/>
        <v>0</v>
      </c>
      <c r="AD221" s="42"/>
      <c r="AE221" s="42"/>
    </row>
    <row r="222" spans="1:31" s="7" customFormat="1" ht="23.25">
      <c r="A222" s="42" t="s">
        <v>0</v>
      </c>
      <c r="B222" s="42" t="s">
        <v>1</v>
      </c>
      <c r="C222" s="45" t="s">
        <v>1271</v>
      </c>
      <c r="D222" s="45" t="s">
        <v>878</v>
      </c>
      <c r="E222" s="29" t="s">
        <v>907</v>
      </c>
      <c r="F222" s="47" t="s">
        <v>140</v>
      </c>
      <c r="G222" s="42"/>
      <c r="H222" s="42"/>
      <c r="I222" s="44">
        <v>88.4</v>
      </c>
      <c r="J222" s="44">
        <f t="shared" si="68"/>
        <v>88.4</v>
      </c>
      <c r="K222" s="42">
        <v>4000</v>
      </c>
      <c r="L222" s="12">
        <f t="shared" si="71"/>
        <v>353600</v>
      </c>
      <c r="M222" s="42"/>
      <c r="N222" s="42"/>
      <c r="O222" s="100"/>
      <c r="P222" s="45"/>
      <c r="Q222" s="100"/>
      <c r="R222" s="100"/>
      <c r="S222" s="42"/>
      <c r="T222" s="12">
        <f t="shared" si="69"/>
        <v>0</v>
      </c>
      <c r="U222" s="45"/>
      <c r="V222" s="12">
        <f>+T222*0</f>
        <v>0</v>
      </c>
      <c r="W222" s="12">
        <f t="shared" si="70"/>
        <v>0</v>
      </c>
      <c r="X222" s="116"/>
      <c r="Y222" s="117">
        <f aca="true" t="shared" si="74" ref="Y222:Y261">+L222+W222</f>
        <v>353600</v>
      </c>
      <c r="Z222" s="12"/>
      <c r="AA222" s="12">
        <f t="shared" si="72"/>
        <v>353600</v>
      </c>
      <c r="AB222" s="12">
        <v>0.3</v>
      </c>
      <c r="AC222" s="12">
        <f t="shared" si="73"/>
        <v>1060.8</v>
      </c>
      <c r="AD222" s="42"/>
      <c r="AE222" s="12"/>
    </row>
    <row r="223" spans="1:31" s="7" customFormat="1" ht="23.25">
      <c r="A223" s="42"/>
      <c r="B223" s="42"/>
      <c r="C223" s="45"/>
      <c r="D223" s="45"/>
      <c r="E223" s="45"/>
      <c r="F223" s="47"/>
      <c r="G223" s="42"/>
      <c r="H223" s="42"/>
      <c r="I223" s="44"/>
      <c r="J223" s="44">
        <f t="shared" si="68"/>
        <v>0</v>
      </c>
      <c r="K223" s="42"/>
      <c r="L223" s="42">
        <f t="shared" si="71"/>
        <v>0</v>
      </c>
      <c r="M223" s="42"/>
      <c r="N223" s="42"/>
      <c r="O223" s="42"/>
      <c r="P223" s="45"/>
      <c r="Q223" s="42"/>
      <c r="R223" s="42"/>
      <c r="S223" s="42"/>
      <c r="T223" s="12">
        <f t="shared" si="69"/>
        <v>0</v>
      </c>
      <c r="U223" s="45"/>
      <c r="V223" s="12">
        <f>+T223*0</f>
        <v>0</v>
      </c>
      <c r="W223" s="12">
        <f t="shared" si="70"/>
        <v>0</v>
      </c>
      <c r="X223" s="116"/>
      <c r="Y223" s="117">
        <f t="shared" si="74"/>
        <v>0</v>
      </c>
      <c r="Z223" s="12"/>
      <c r="AA223" s="12">
        <f t="shared" si="72"/>
        <v>0</v>
      </c>
      <c r="AB223" s="12"/>
      <c r="AC223" s="12">
        <f t="shared" si="73"/>
        <v>0</v>
      </c>
      <c r="AD223" s="42"/>
      <c r="AE223" s="42"/>
    </row>
    <row r="224" spans="1:31" s="7" customFormat="1" ht="23.25">
      <c r="A224" s="42"/>
      <c r="B224" s="42"/>
      <c r="C224" s="45"/>
      <c r="D224" s="45"/>
      <c r="E224" s="45"/>
      <c r="F224" s="47"/>
      <c r="G224" s="42"/>
      <c r="H224" s="42"/>
      <c r="I224" s="44"/>
      <c r="J224" s="44">
        <f t="shared" si="68"/>
        <v>0</v>
      </c>
      <c r="K224" s="42"/>
      <c r="L224" s="42">
        <f t="shared" si="71"/>
        <v>0</v>
      </c>
      <c r="M224" s="42"/>
      <c r="N224" s="42"/>
      <c r="O224" s="42"/>
      <c r="P224" s="45"/>
      <c r="Q224" s="42"/>
      <c r="R224" s="42"/>
      <c r="S224" s="42"/>
      <c r="T224" s="12">
        <f t="shared" si="69"/>
        <v>0</v>
      </c>
      <c r="U224" s="45"/>
      <c r="V224" s="12">
        <f>+T224*0</f>
        <v>0</v>
      </c>
      <c r="W224" s="12">
        <f t="shared" si="70"/>
        <v>0</v>
      </c>
      <c r="X224" s="116"/>
      <c r="Y224" s="117">
        <f t="shared" si="74"/>
        <v>0</v>
      </c>
      <c r="Z224" s="12"/>
      <c r="AA224" s="12">
        <f t="shared" si="72"/>
        <v>0</v>
      </c>
      <c r="AB224" s="12"/>
      <c r="AC224" s="12">
        <f t="shared" si="73"/>
        <v>0</v>
      </c>
      <c r="AD224" s="42"/>
      <c r="AE224" s="42"/>
    </row>
    <row r="225" spans="1:31" s="7" customFormat="1" ht="23.25">
      <c r="A225" s="42" t="s">
        <v>0</v>
      </c>
      <c r="B225" s="42" t="s">
        <v>1</v>
      </c>
      <c r="C225" s="45" t="s">
        <v>1272</v>
      </c>
      <c r="D225" s="45" t="s">
        <v>879</v>
      </c>
      <c r="E225" s="30" t="s">
        <v>908</v>
      </c>
      <c r="F225" s="47" t="s">
        <v>143</v>
      </c>
      <c r="G225" s="42"/>
      <c r="H225" s="42"/>
      <c r="I225" s="44">
        <v>20.1</v>
      </c>
      <c r="J225" s="44">
        <f t="shared" si="68"/>
        <v>20.1</v>
      </c>
      <c r="K225" s="42">
        <v>100000</v>
      </c>
      <c r="L225" s="12">
        <f t="shared" si="71"/>
        <v>2010000.0000000002</v>
      </c>
      <c r="M225" s="42"/>
      <c r="N225" s="42" t="s">
        <v>64</v>
      </c>
      <c r="O225" s="101" t="s">
        <v>454</v>
      </c>
      <c r="P225" s="45">
        <v>3</v>
      </c>
      <c r="Q225" s="100">
        <v>84</v>
      </c>
      <c r="R225" s="100"/>
      <c r="S225" s="42">
        <v>6550</v>
      </c>
      <c r="T225" s="12">
        <f t="shared" si="69"/>
        <v>550200</v>
      </c>
      <c r="U225" s="102" t="s">
        <v>882</v>
      </c>
      <c r="V225" s="12">
        <f>+T225*0.93</f>
        <v>511686</v>
      </c>
      <c r="W225" s="12">
        <f t="shared" si="70"/>
        <v>38514</v>
      </c>
      <c r="X225" s="116"/>
      <c r="Y225" s="117">
        <f t="shared" si="74"/>
        <v>2048514.0000000002</v>
      </c>
      <c r="Z225" s="12"/>
      <c r="AA225" s="12">
        <f t="shared" si="72"/>
        <v>2048514.0000000002</v>
      </c>
      <c r="AB225" s="12">
        <v>0.3</v>
      </c>
      <c r="AC225" s="12">
        <f t="shared" si="73"/>
        <v>6145.542</v>
      </c>
      <c r="AD225" s="42"/>
      <c r="AE225" s="12"/>
    </row>
    <row r="226" spans="1:31" s="7" customFormat="1" ht="23.25">
      <c r="A226" s="42" t="s">
        <v>0</v>
      </c>
      <c r="B226" s="42" t="s">
        <v>1</v>
      </c>
      <c r="C226" s="45" t="s">
        <v>1273</v>
      </c>
      <c r="D226" s="48" t="s">
        <v>880</v>
      </c>
      <c r="E226" s="30" t="s">
        <v>908</v>
      </c>
      <c r="F226" s="47" t="s">
        <v>140</v>
      </c>
      <c r="G226" s="42"/>
      <c r="H226" s="42"/>
      <c r="I226" s="44">
        <v>29</v>
      </c>
      <c r="J226" s="44">
        <f t="shared" si="68"/>
        <v>29</v>
      </c>
      <c r="K226" s="42">
        <v>8000</v>
      </c>
      <c r="L226" s="12">
        <f t="shared" si="71"/>
        <v>232000</v>
      </c>
      <c r="M226" s="42"/>
      <c r="N226" s="42"/>
      <c r="O226" s="100"/>
      <c r="P226" s="45"/>
      <c r="Q226" s="100"/>
      <c r="R226" s="100"/>
      <c r="S226" s="42"/>
      <c r="T226" s="12">
        <f t="shared" si="69"/>
        <v>0</v>
      </c>
      <c r="U226" s="45"/>
      <c r="V226" s="12">
        <f>+T226*0</f>
        <v>0</v>
      </c>
      <c r="W226" s="12">
        <f t="shared" si="70"/>
        <v>0</v>
      </c>
      <c r="X226" s="116"/>
      <c r="Y226" s="117">
        <f t="shared" si="74"/>
        <v>232000</v>
      </c>
      <c r="Z226" s="12"/>
      <c r="AA226" s="12">
        <f t="shared" si="72"/>
        <v>232000</v>
      </c>
      <c r="AB226" s="12">
        <v>0.3</v>
      </c>
      <c r="AC226" s="12">
        <f t="shared" si="73"/>
        <v>696</v>
      </c>
      <c r="AD226" s="42"/>
      <c r="AE226" s="12"/>
    </row>
    <row r="227" spans="1:31" s="7" customFormat="1" ht="23.25">
      <c r="A227" s="42" t="s">
        <v>0</v>
      </c>
      <c r="B227" s="42" t="s">
        <v>1</v>
      </c>
      <c r="C227" s="45" t="s">
        <v>1274</v>
      </c>
      <c r="D227" s="48" t="s">
        <v>881</v>
      </c>
      <c r="E227" s="30" t="s">
        <v>908</v>
      </c>
      <c r="F227" s="47" t="s">
        <v>140</v>
      </c>
      <c r="G227" s="42"/>
      <c r="H227" s="42"/>
      <c r="I227" s="44">
        <v>16.7</v>
      </c>
      <c r="J227" s="44">
        <f t="shared" si="68"/>
        <v>16.7</v>
      </c>
      <c r="K227" s="42">
        <v>8000</v>
      </c>
      <c r="L227" s="12">
        <f t="shared" si="71"/>
        <v>133600</v>
      </c>
      <c r="M227" s="42"/>
      <c r="N227" s="42"/>
      <c r="O227" s="100"/>
      <c r="P227" s="45"/>
      <c r="Q227" s="100"/>
      <c r="R227" s="100"/>
      <c r="S227" s="42"/>
      <c r="T227" s="12">
        <f t="shared" si="69"/>
        <v>0</v>
      </c>
      <c r="U227" s="45"/>
      <c r="V227" s="12">
        <f>+T227*0</f>
        <v>0</v>
      </c>
      <c r="W227" s="12">
        <f t="shared" si="70"/>
        <v>0</v>
      </c>
      <c r="X227" s="116"/>
      <c r="Y227" s="117">
        <f t="shared" si="74"/>
        <v>133600</v>
      </c>
      <c r="Z227" s="12"/>
      <c r="AA227" s="12">
        <f t="shared" si="72"/>
        <v>133600</v>
      </c>
      <c r="AB227" s="12">
        <v>0.3</v>
      </c>
      <c r="AC227" s="12">
        <f t="shared" si="73"/>
        <v>400.8</v>
      </c>
      <c r="AD227" s="42"/>
      <c r="AE227" s="12"/>
    </row>
    <row r="228" spans="1:31" s="7" customFormat="1" ht="23.25">
      <c r="A228" s="42"/>
      <c r="B228" s="42"/>
      <c r="C228" s="45"/>
      <c r="D228" s="45"/>
      <c r="E228" s="45"/>
      <c r="F228" s="47"/>
      <c r="G228" s="42"/>
      <c r="H228" s="42"/>
      <c r="I228" s="44"/>
      <c r="J228" s="44">
        <f t="shared" si="68"/>
        <v>0</v>
      </c>
      <c r="K228" s="42"/>
      <c r="L228" s="42">
        <f t="shared" si="71"/>
        <v>0</v>
      </c>
      <c r="M228" s="42"/>
      <c r="N228" s="42"/>
      <c r="O228" s="42"/>
      <c r="P228" s="45"/>
      <c r="Q228" s="42"/>
      <c r="R228" s="42"/>
      <c r="S228" s="42"/>
      <c r="T228" s="12">
        <f t="shared" si="69"/>
        <v>0</v>
      </c>
      <c r="U228" s="45"/>
      <c r="V228" s="12">
        <f>+T228*0</f>
        <v>0</v>
      </c>
      <c r="W228" s="12">
        <f t="shared" si="70"/>
        <v>0</v>
      </c>
      <c r="X228" s="116"/>
      <c r="Y228" s="117">
        <f t="shared" si="74"/>
        <v>0</v>
      </c>
      <c r="Z228" s="12"/>
      <c r="AA228" s="12">
        <f t="shared" si="72"/>
        <v>0</v>
      </c>
      <c r="AB228" s="12"/>
      <c r="AC228" s="12">
        <f t="shared" si="73"/>
        <v>0</v>
      </c>
      <c r="AD228" s="42"/>
      <c r="AE228" s="42"/>
    </row>
    <row r="229" spans="1:31" s="7" customFormat="1" ht="23.25">
      <c r="A229" s="42" t="s">
        <v>0</v>
      </c>
      <c r="B229" s="42" t="s">
        <v>1</v>
      </c>
      <c r="C229" s="45" t="s">
        <v>1275</v>
      </c>
      <c r="D229" s="45" t="s">
        <v>883</v>
      </c>
      <c r="E229" s="10" t="s">
        <v>909</v>
      </c>
      <c r="F229" s="47" t="s">
        <v>177</v>
      </c>
      <c r="G229" s="42"/>
      <c r="H229" s="42"/>
      <c r="I229" s="44">
        <v>49.2</v>
      </c>
      <c r="J229" s="44">
        <f aca="true" t="shared" si="75" ref="J229:J240">+I229+(H229*100)+(G229*400)</f>
        <v>49.2</v>
      </c>
      <c r="K229" s="42">
        <v>15000</v>
      </c>
      <c r="L229" s="12">
        <f t="shared" si="71"/>
        <v>738000</v>
      </c>
      <c r="M229" s="42"/>
      <c r="N229" s="42"/>
      <c r="O229" s="100"/>
      <c r="P229" s="45"/>
      <c r="Q229" s="100"/>
      <c r="R229" s="100"/>
      <c r="S229" s="42"/>
      <c r="T229" s="12">
        <f aca="true" t="shared" si="76" ref="T229:T240">+Q229*S229</f>
        <v>0</v>
      </c>
      <c r="U229" s="45"/>
      <c r="V229" s="12">
        <f>+T229*0</f>
        <v>0</v>
      </c>
      <c r="W229" s="12">
        <f aca="true" t="shared" si="77" ref="W229:W240">+T229-V229</f>
        <v>0</v>
      </c>
      <c r="X229" s="116"/>
      <c r="Y229" s="117">
        <f t="shared" si="74"/>
        <v>738000</v>
      </c>
      <c r="Z229" s="12">
        <f>+Y229</f>
        <v>738000</v>
      </c>
      <c r="AA229" s="12">
        <f t="shared" si="72"/>
        <v>0</v>
      </c>
      <c r="AB229" s="12"/>
      <c r="AC229" s="12">
        <f aca="true" t="shared" si="78" ref="AC229:AC236">+AA229*AB229/100</f>
        <v>0</v>
      </c>
      <c r="AD229" s="42"/>
      <c r="AE229" s="12"/>
    </row>
    <row r="230" spans="1:31" s="7" customFormat="1" ht="23.25">
      <c r="A230" s="42" t="s">
        <v>0</v>
      </c>
      <c r="B230" s="42" t="s">
        <v>1</v>
      </c>
      <c r="C230" s="45" t="s">
        <v>158</v>
      </c>
      <c r="D230" s="45" t="s">
        <v>884</v>
      </c>
      <c r="E230" s="10" t="s">
        <v>909</v>
      </c>
      <c r="F230" s="47" t="s">
        <v>140</v>
      </c>
      <c r="G230" s="42"/>
      <c r="H230" s="42"/>
      <c r="I230" s="44">
        <v>50.2</v>
      </c>
      <c r="J230" s="44">
        <f t="shared" si="75"/>
        <v>50.2</v>
      </c>
      <c r="K230" s="42">
        <v>15000</v>
      </c>
      <c r="L230" s="12">
        <f>+K230*J230</f>
        <v>753000</v>
      </c>
      <c r="M230" s="42"/>
      <c r="N230" s="42"/>
      <c r="O230" s="100"/>
      <c r="P230" s="45"/>
      <c r="Q230" s="100"/>
      <c r="R230" s="100"/>
      <c r="S230" s="42"/>
      <c r="T230" s="12">
        <f t="shared" si="76"/>
        <v>0</v>
      </c>
      <c r="U230" s="45"/>
      <c r="V230" s="12">
        <f>+T230*0</f>
        <v>0</v>
      </c>
      <c r="W230" s="12">
        <f t="shared" si="77"/>
        <v>0</v>
      </c>
      <c r="X230" s="116"/>
      <c r="Y230" s="117">
        <f t="shared" si="74"/>
        <v>753000</v>
      </c>
      <c r="Z230" s="12"/>
      <c r="AA230" s="12">
        <f>+Y230-Z230</f>
        <v>753000</v>
      </c>
      <c r="AB230" s="12">
        <v>0.3</v>
      </c>
      <c r="AC230" s="12">
        <f t="shared" si="78"/>
        <v>2259</v>
      </c>
      <c r="AD230" s="42"/>
      <c r="AE230" s="12"/>
    </row>
    <row r="231" spans="1:31" s="7" customFormat="1" ht="23.25">
      <c r="A231" s="42" t="s">
        <v>0</v>
      </c>
      <c r="B231" s="42" t="s">
        <v>1</v>
      </c>
      <c r="C231" s="45" t="s">
        <v>1276</v>
      </c>
      <c r="D231" s="45" t="s">
        <v>885</v>
      </c>
      <c r="E231" s="10" t="s">
        <v>909</v>
      </c>
      <c r="F231" s="47" t="s">
        <v>137</v>
      </c>
      <c r="G231" s="42"/>
      <c r="H231" s="42"/>
      <c r="I231" s="44">
        <v>50.2</v>
      </c>
      <c r="J231" s="44">
        <f t="shared" si="75"/>
        <v>50.2</v>
      </c>
      <c r="K231" s="42">
        <v>10000</v>
      </c>
      <c r="L231" s="12">
        <f>+K231*J231</f>
        <v>502000</v>
      </c>
      <c r="M231" s="42"/>
      <c r="N231" s="42" t="s">
        <v>64</v>
      </c>
      <c r="O231" s="101" t="s">
        <v>446</v>
      </c>
      <c r="P231" s="45" t="s">
        <v>137</v>
      </c>
      <c r="Q231" s="100">
        <v>309.76</v>
      </c>
      <c r="R231" s="100"/>
      <c r="S231" s="42">
        <v>6550</v>
      </c>
      <c r="T231" s="12">
        <f t="shared" si="76"/>
        <v>2028928</v>
      </c>
      <c r="U231" s="102" t="s">
        <v>84</v>
      </c>
      <c r="V231" s="12">
        <f>+T231*0.2</f>
        <v>405785.60000000003</v>
      </c>
      <c r="W231" s="12">
        <f t="shared" si="77"/>
        <v>1623142.4</v>
      </c>
      <c r="X231" s="116"/>
      <c r="Y231" s="117">
        <f t="shared" si="74"/>
        <v>2125142.4</v>
      </c>
      <c r="Z231" s="12">
        <f>+Y231</f>
        <v>2125142.4</v>
      </c>
      <c r="AA231" s="12">
        <f>+Y231-Z231</f>
        <v>0</v>
      </c>
      <c r="AB231" s="12"/>
      <c r="AC231" s="12">
        <f t="shared" si="78"/>
        <v>0</v>
      </c>
      <c r="AD231" s="31" t="s">
        <v>906</v>
      </c>
      <c r="AE231" s="12"/>
    </row>
    <row r="232" spans="1:31" s="7" customFormat="1" ht="23.25">
      <c r="A232" s="42" t="s">
        <v>0</v>
      </c>
      <c r="B232" s="42" t="s">
        <v>1</v>
      </c>
      <c r="C232" s="45" t="s">
        <v>1277</v>
      </c>
      <c r="D232" s="45" t="s">
        <v>886</v>
      </c>
      <c r="E232" s="10" t="s">
        <v>909</v>
      </c>
      <c r="F232" s="47" t="s">
        <v>137</v>
      </c>
      <c r="G232" s="42"/>
      <c r="H232" s="42"/>
      <c r="I232" s="44">
        <v>50.3</v>
      </c>
      <c r="J232" s="44">
        <f t="shared" si="75"/>
        <v>50.3</v>
      </c>
      <c r="K232" s="42">
        <v>10000</v>
      </c>
      <c r="L232" s="12">
        <f>+K232*J232</f>
        <v>503000</v>
      </c>
      <c r="M232" s="42"/>
      <c r="N232" s="42"/>
      <c r="O232" s="42"/>
      <c r="P232" s="45"/>
      <c r="Q232" s="42"/>
      <c r="R232" s="42"/>
      <c r="S232" s="42"/>
      <c r="T232" s="12">
        <f t="shared" si="76"/>
        <v>0</v>
      </c>
      <c r="U232" s="45"/>
      <c r="V232" s="12">
        <f>+T232*0</f>
        <v>0</v>
      </c>
      <c r="W232" s="12">
        <f t="shared" si="77"/>
        <v>0</v>
      </c>
      <c r="X232" s="116"/>
      <c r="Y232" s="117">
        <f t="shared" si="74"/>
        <v>503000</v>
      </c>
      <c r="Z232" s="12"/>
      <c r="AA232" s="12">
        <f>+Y232-Z232</f>
        <v>503000</v>
      </c>
      <c r="AB232" s="12">
        <v>0.02</v>
      </c>
      <c r="AC232" s="12">
        <f t="shared" si="78"/>
        <v>100.6</v>
      </c>
      <c r="AD232" s="42"/>
      <c r="AE232" s="12"/>
    </row>
    <row r="233" spans="1:31" s="7" customFormat="1" ht="23.25">
      <c r="A233" s="42" t="s">
        <v>0</v>
      </c>
      <c r="B233" s="42" t="s">
        <v>1</v>
      </c>
      <c r="C233" s="45" t="s">
        <v>1278</v>
      </c>
      <c r="D233" s="45" t="s">
        <v>887</v>
      </c>
      <c r="E233" s="10" t="s">
        <v>909</v>
      </c>
      <c r="F233" s="47" t="s">
        <v>137</v>
      </c>
      <c r="G233" s="42"/>
      <c r="H233" s="42"/>
      <c r="I233" s="44">
        <v>50.3</v>
      </c>
      <c r="J233" s="44">
        <f t="shared" si="75"/>
        <v>50.3</v>
      </c>
      <c r="K233" s="42">
        <v>10000</v>
      </c>
      <c r="L233" s="12">
        <f t="shared" si="71"/>
        <v>503000</v>
      </c>
      <c r="M233" s="42"/>
      <c r="N233" s="42"/>
      <c r="O233" s="100"/>
      <c r="P233" s="45"/>
      <c r="Q233" s="100"/>
      <c r="R233" s="100"/>
      <c r="S233" s="42"/>
      <c r="T233" s="12">
        <f t="shared" si="76"/>
        <v>0</v>
      </c>
      <c r="U233" s="45"/>
      <c r="V233" s="12">
        <f>+T233*0</f>
        <v>0</v>
      </c>
      <c r="W233" s="12">
        <f t="shared" si="77"/>
        <v>0</v>
      </c>
      <c r="X233" s="116"/>
      <c r="Y233" s="117">
        <f t="shared" si="74"/>
        <v>503000</v>
      </c>
      <c r="Z233" s="12"/>
      <c r="AA233" s="12">
        <f t="shared" si="72"/>
        <v>503000</v>
      </c>
      <c r="AB233" s="12">
        <v>0.02</v>
      </c>
      <c r="AC233" s="12">
        <f t="shared" si="78"/>
        <v>100.6</v>
      </c>
      <c r="AD233" s="42"/>
      <c r="AE233" s="12"/>
    </row>
    <row r="234" spans="1:31" s="7" customFormat="1" ht="23.25">
      <c r="A234" s="42" t="s">
        <v>0</v>
      </c>
      <c r="B234" s="42" t="s">
        <v>1</v>
      </c>
      <c r="C234" s="45" t="s">
        <v>1279</v>
      </c>
      <c r="D234" s="45" t="s">
        <v>888</v>
      </c>
      <c r="E234" s="10" t="s">
        <v>909</v>
      </c>
      <c r="F234" s="47" t="s">
        <v>137</v>
      </c>
      <c r="G234" s="42"/>
      <c r="H234" s="42"/>
      <c r="I234" s="44">
        <v>50.3</v>
      </c>
      <c r="J234" s="44">
        <f t="shared" si="75"/>
        <v>50.3</v>
      </c>
      <c r="K234" s="42">
        <v>10000</v>
      </c>
      <c r="L234" s="12">
        <f t="shared" si="71"/>
        <v>503000</v>
      </c>
      <c r="M234" s="42"/>
      <c r="N234" s="42" t="s">
        <v>64</v>
      </c>
      <c r="O234" s="101" t="s">
        <v>446</v>
      </c>
      <c r="P234" s="45" t="s">
        <v>137</v>
      </c>
      <c r="Q234" s="100">
        <v>63</v>
      </c>
      <c r="R234" s="100"/>
      <c r="S234" s="42">
        <v>6550</v>
      </c>
      <c r="T234" s="12">
        <f t="shared" si="76"/>
        <v>412650</v>
      </c>
      <c r="U234" s="102" t="s">
        <v>84</v>
      </c>
      <c r="V234" s="12">
        <f>+T234*0.2</f>
        <v>82530</v>
      </c>
      <c r="W234" s="12">
        <f t="shared" si="77"/>
        <v>330120</v>
      </c>
      <c r="X234" s="116"/>
      <c r="Y234" s="117">
        <f t="shared" si="74"/>
        <v>833120</v>
      </c>
      <c r="Z234" s="12"/>
      <c r="AA234" s="12">
        <f t="shared" si="72"/>
        <v>833120</v>
      </c>
      <c r="AB234" s="12">
        <v>0.02</v>
      </c>
      <c r="AC234" s="12">
        <f t="shared" si="78"/>
        <v>166.62400000000002</v>
      </c>
      <c r="AD234" s="42"/>
      <c r="AE234" s="12"/>
    </row>
    <row r="235" spans="1:31" s="7" customFormat="1" ht="23.25">
      <c r="A235" s="42"/>
      <c r="B235" s="42"/>
      <c r="C235" s="45"/>
      <c r="D235" s="45"/>
      <c r="E235" s="45"/>
      <c r="F235" s="47"/>
      <c r="G235" s="42"/>
      <c r="H235" s="42"/>
      <c r="I235" s="44"/>
      <c r="J235" s="44">
        <f t="shared" si="75"/>
        <v>0</v>
      </c>
      <c r="K235" s="42"/>
      <c r="L235" s="42">
        <f t="shared" si="71"/>
        <v>0</v>
      </c>
      <c r="M235" s="42"/>
      <c r="N235" s="42"/>
      <c r="O235" s="42"/>
      <c r="P235" s="45"/>
      <c r="Q235" s="42"/>
      <c r="R235" s="42"/>
      <c r="S235" s="42"/>
      <c r="T235" s="12">
        <f t="shared" si="76"/>
        <v>0</v>
      </c>
      <c r="U235" s="45"/>
      <c r="V235" s="12">
        <f>+T235*0</f>
        <v>0</v>
      </c>
      <c r="W235" s="12">
        <f t="shared" si="77"/>
        <v>0</v>
      </c>
      <c r="X235" s="116"/>
      <c r="Y235" s="117">
        <f t="shared" si="74"/>
        <v>0</v>
      </c>
      <c r="Z235" s="12"/>
      <c r="AA235" s="12">
        <f t="shared" si="72"/>
        <v>0</v>
      </c>
      <c r="AB235" s="12"/>
      <c r="AC235" s="12">
        <f t="shared" si="78"/>
        <v>0</v>
      </c>
      <c r="AD235" s="42"/>
      <c r="AE235" s="42"/>
    </row>
    <row r="236" spans="1:31" s="7" customFormat="1" ht="23.25">
      <c r="A236" s="42"/>
      <c r="B236" s="42"/>
      <c r="C236" s="45"/>
      <c r="D236" s="45"/>
      <c r="E236" s="45"/>
      <c r="F236" s="47"/>
      <c r="G236" s="42"/>
      <c r="H236" s="42"/>
      <c r="I236" s="44"/>
      <c r="J236" s="44">
        <f>+I236+(H236*100)+(G236*400)</f>
        <v>0</v>
      </c>
      <c r="K236" s="42"/>
      <c r="L236" s="42">
        <f>+K236*J236</f>
        <v>0</v>
      </c>
      <c r="M236" s="42"/>
      <c r="N236" s="5"/>
      <c r="O236" s="6"/>
      <c r="P236" s="13"/>
      <c r="Q236" s="6"/>
      <c r="R236" s="6"/>
      <c r="S236" s="5"/>
      <c r="T236" s="12">
        <f>+Q236*S236</f>
        <v>0</v>
      </c>
      <c r="U236" s="45"/>
      <c r="V236" s="12">
        <f>+T236*0</f>
        <v>0</v>
      </c>
      <c r="W236" s="12">
        <f>+T236-V236</f>
        <v>0</v>
      </c>
      <c r="X236" s="116"/>
      <c r="Y236" s="117">
        <f>+L236+W236</f>
        <v>0</v>
      </c>
      <c r="Z236" s="12"/>
      <c r="AA236" s="12">
        <f>+Y236-Z236</f>
        <v>0</v>
      </c>
      <c r="AB236" s="12"/>
      <c r="AC236" s="12">
        <f t="shared" si="78"/>
        <v>0</v>
      </c>
      <c r="AD236" s="42"/>
      <c r="AE236" s="42"/>
    </row>
    <row r="237" spans="1:31" s="7" customFormat="1" ht="23.25">
      <c r="A237" s="42" t="s">
        <v>0</v>
      </c>
      <c r="B237" s="42" t="s">
        <v>1</v>
      </c>
      <c r="C237" s="45" t="s">
        <v>1752</v>
      </c>
      <c r="D237" s="45" t="s">
        <v>1755</v>
      </c>
      <c r="E237" s="29" t="s">
        <v>907</v>
      </c>
      <c r="F237" s="47" t="s">
        <v>137</v>
      </c>
      <c r="G237" s="42"/>
      <c r="H237" s="42"/>
      <c r="I237" s="44">
        <v>10.9</v>
      </c>
      <c r="J237" s="44">
        <f>+I237+(H237*100)+(G237*400)</f>
        <v>10.9</v>
      </c>
      <c r="K237" s="42">
        <v>6000</v>
      </c>
      <c r="L237" s="12">
        <f>+K237*J237</f>
        <v>65400</v>
      </c>
      <c r="M237" s="42"/>
      <c r="N237" s="42"/>
      <c r="O237" s="42"/>
      <c r="P237" s="45"/>
      <c r="Q237" s="42"/>
      <c r="R237" s="42"/>
      <c r="S237" s="42"/>
      <c r="T237" s="12">
        <f>+Q237*S237</f>
        <v>0</v>
      </c>
      <c r="U237" s="45"/>
      <c r="V237" s="12">
        <f>+T237*0</f>
        <v>0</v>
      </c>
      <c r="W237" s="12">
        <f>+T237-V237</f>
        <v>0</v>
      </c>
      <c r="X237" s="116"/>
      <c r="Y237" s="117">
        <f>+L237+W237</f>
        <v>65400</v>
      </c>
      <c r="Z237" s="12"/>
      <c r="AA237" s="12">
        <f>+Y237-Z237</f>
        <v>65400</v>
      </c>
      <c r="AB237" s="12">
        <v>0.02</v>
      </c>
      <c r="AC237" s="12">
        <f aca="true" t="shared" si="79" ref="AC237:AC249">+AA237*AB237/100</f>
        <v>13.08</v>
      </c>
      <c r="AD237" s="42"/>
      <c r="AE237" s="42"/>
    </row>
    <row r="238" spans="1:31" s="7" customFormat="1" ht="23.25">
      <c r="A238" s="42" t="s">
        <v>0</v>
      </c>
      <c r="B238" s="42" t="s">
        <v>1</v>
      </c>
      <c r="C238" s="45" t="s">
        <v>1753</v>
      </c>
      <c r="D238" s="45" t="s">
        <v>1756</v>
      </c>
      <c r="E238" s="29" t="s">
        <v>907</v>
      </c>
      <c r="F238" s="47" t="s">
        <v>137</v>
      </c>
      <c r="G238" s="42"/>
      <c r="H238" s="42"/>
      <c r="I238" s="44">
        <v>20.7</v>
      </c>
      <c r="J238" s="44">
        <f>+I238+(H238*100)+(G238*400)</f>
        <v>20.7</v>
      </c>
      <c r="K238" s="42">
        <v>50000</v>
      </c>
      <c r="L238" s="12">
        <f>+K238*J238</f>
        <v>1035000</v>
      </c>
      <c r="M238" s="42"/>
      <c r="N238" s="42" t="s">
        <v>60</v>
      </c>
      <c r="O238" s="104" t="s">
        <v>446</v>
      </c>
      <c r="P238" s="45" t="s">
        <v>137</v>
      </c>
      <c r="Q238" s="104">
        <v>168</v>
      </c>
      <c r="R238" s="100"/>
      <c r="S238" s="42">
        <v>7550</v>
      </c>
      <c r="T238" s="12">
        <f>+Q238*S238</f>
        <v>1268400</v>
      </c>
      <c r="U238" s="102" t="s">
        <v>93</v>
      </c>
      <c r="V238" s="12">
        <f>+T238*0.44</f>
        <v>558096</v>
      </c>
      <c r="W238" s="12">
        <f>+T238-V238</f>
        <v>710304</v>
      </c>
      <c r="X238" s="116"/>
      <c r="Y238" s="117">
        <f>+L238+W238</f>
        <v>1745304</v>
      </c>
      <c r="Z238" s="12"/>
      <c r="AA238" s="12">
        <f>+Y238-Z238</f>
        <v>1745304</v>
      </c>
      <c r="AB238" s="12">
        <v>0.02</v>
      </c>
      <c r="AC238" s="12">
        <f t="shared" si="79"/>
        <v>349.06080000000003</v>
      </c>
      <c r="AD238" s="42"/>
      <c r="AE238" s="42"/>
    </row>
    <row r="239" spans="1:31" s="7" customFormat="1" ht="23.25">
      <c r="A239" s="42" t="s">
        <v>0</v>
      </c>
      <c r="B239" s="42" t="s">
        <v>1</v>
      </c>
      <c r="C239" s="45" t="s">
        <v>1754</v>
      </c>
      <c r="D239" s="45" t="s">
        <v>1757</v>
      </c>
      <c r="E239" s="29" t="s">
        <v>907</v>
      </c>
      <c r="F239" s="47" t="s">
        <v>137</v>
      </c>
      <c r="G239" s="42"/>
      <c r="H239" s="42"/>
      <c r="I239" s="44">
        <v>21.9</v>
      </c>
      <c r="J239" s="44">
        <f>+I239+(H239*100)+(G239*400)</f>
        <v>21.9</v>
      </c>
      <c r="K239" s="42">
        <v>12000</v>
      </c>
      <c r="L239" s="12">
        <f>+K239*J239</f>
        <v>262800</v>
      </c>
      <c r="M239" s="42"/>
      <c r="N239" s="42" t="s">
        <v>60</v>
      </c>
      <c r="O239" s="104" t="s">
        <v>446</v>
      </c>
      <c r="P239" s="45" t="s">
        <v>137</v>
      </c>
      <c r="Q239" s="104">
        <v>96</v>
      </c>
      <c r="R239" s="100"/>
      <c r="S239" s="42">
        <v>7550</v>
      </c>
      <c r="T239" s="12">
        <f>+Q239*S239</f>
        <v>724800</v>
      </c>
      <c r="U239" s="45" t="s">
        <v>337</v>
      </c>
      <c r="V239" s="12">
        <f>+T239*0.06</f>
        <v>43488</v>
      </c>
      <c r="W239" s="12">
        <f>+T239-V239</f>
        <v>681312</v>
      </c>
      <c r="X239" s="116"/>
      <c r="Y239" s="117">
        <f>+L239+W239</f>
        <v>944112</v>
      </c>
      <c r="Z239" s="12"/>
      <c r="AA239" s="12">
        <f>+Y239-Z239</f>
        <v>944112</v>
      </c>
      <c r="AB239" s="12">
        <v>0.02</v>
      </c>
      <c r="AC239" s="12">
        <f t="shared" si="79"/>
        <v>188.82240000000002</v>
      </c>
      <c r="AD239" s="42"/>
      <c r="AE239" s="42"/>
    </row>
    <row r="240" spans="1:31" s="7" customFormat="1" ht="23.25">
      <c r="A240" s="42"/>
      <c r="B240" s="42"/>
      <c r="C240" s="45"/>
      <c r="D240" s="45"/>
      <c r="E240" s="45"/>
      <c r="F240" s="47"/>
      <c r="G240" s="42"/>
      <c r="H240" s="42"/>
      <c r="I240" s="44"/>
      <c r="J240" s="44">
        <f t="shared" si="75"/>
        <v>0</v>
      </c>
      <c r="K240" s="42"/>
      <c r="L240" s="42">
        <f t="shared" si="71"/>
        <v>0</v>
      </c>
      <c r="M240" s="42"/>
      <c r="N240" s="42"/>
      <c r="O240" s="42"/>
      <c r="P240" s="45"/>
      <c r="Q240" s="42"/>
      <c r="R240" s="42"/>
      <c r="S240" s="42"/>
      <c r="T240" s="12">
        <f t="shared" si="76"/>
        <v>0</v>
      </c>
      <c r="U240" s="45"/>
      <c r="V240" s="12">
        <f>+T240*0</f>
        <v>0</v>
      </c>
      <c r="W240" s="12">
        <f t="shared" si="77"/>
        <v>0</v>
      </c>
      <c r="X240" s="116"/>
      <c r="Y240" s="117">
        <f t="shared" si="74"/>
        <v>0</v>
      </c>
      <c r="Z240" s="12"/>
      <c r="AA240" s="12">
        <f t="shared" si="72"/>
        <v>0</v>
      </c>
      <c r="AB240" s="12"/>
      <c r="AC240" s="12">
        <f t="shared" si="79"/>
        <v>0</v>
      </c>
      <c r="AD240" s="42"/>
      <c r="AE240" s="42"/>
    </row>
    <row r="241" spans="1:31" s="7" customFormat="1" ht="23.25">
      <c r="A241" s="42" t="s">
        <v>0</v>
      </c>
      <c r="B241" s="42" t="s">
        <v>1</v>
      </c>
      <c r="C241" s="45" t="s">
        <v>1280</v>
      </c>
      <c r="D241" s="45" t="s">
        <v>891</v>
      </c>
      <c r="E241" s="10" t="s">
        <v>909</v>
      </c>
      <c r="F241" s="47" t="s">
        <v>137</v>
      </c>
      <c r="G241" s="42"/>
      <c r="H241" s="42">
        <v>3</v>
      </c>
      <c r="I241" s="44">
        <v>6.8</v>
      </c>
      <c r="J241" s="44">
        <f aca="true" t="shared" si="80" ref="J241:J249">+I241+(H241*100)+(G241*400)</f>
        <v>306.8</v>
      </c>
      <c r="K241" s="42">
        <v>17000</v>
      </c>
      <c r="L241" s="12">
        <f t="shared" si="71"/>
        <v>5215600</v>
      </c>
      <c r="M241" s="42"/>
      <c r="N241" s="42" t="s">
        <v>64</v>
      </c>
      <c r="O241" s="101" t="s">
        <v>446</v>
      </c>
      <c r="P241" s="45" t="s">
        <v>137</v>
      </c>
      <c r="Q241" s="100">
        <v>96</v>
      </c>
      <c r="R241" s="100"/>
      <c r="S241" s="42">
        <v>6550</v>
      </c>
      <c r="T241" s="12">
        <f aca="true" t="shared" si="81" ref="T241:T249">+Q241*S241</f>
        <v>628800</v>
      </c>
      <c r="U241" s="102" t="s">
        <v>84</v>
      </c>
      <c r="V241" s="12">
        <f>+T241*0.2</f>
        <v>125760</v>
      </c>
      <c r="W241" s="12">
        <f aca="true" t="shared" si="82" ref="W241:W249">+T241-V241</f>
        <v>503040</v>
      </c>
      <c r="X241" s="116"/>
      <c r="Y241" s="117">
        <f t="shared" si="74"/>
        <v>5718640</v>
      </c>
      <c r="Z241" s="12">
        <f>+Y241</f>
        <v>5718640</v>
      </c>
      <c r="AA241" s="12">
        <f t="shared" si="72"/>
        <v>0</v>
      </c>
      <c r="AB241" s="12"/>
      <c r="AC241" s="12">
        <f t="shared" si="79"/>
        <v>0</v>
      </c>
      <c r="AD241" s="31" t="s">
        <v>906</v>
      </c>
      <c r="AE241" s="42"/>
    </row>
    <row r="242" spans="1:31" s="7" customFormat="1" ht="23.25">
      <c r="A242" s="42"/>
      <c r="B242" s="42"/>
      <c r="C242" s="45"/>
      <c r="D242" s="45"/>
      <c r="E242" s="45"/>
      <c r="F242" s="47"/>
      <c r="G242" s="42"/>
      <c r="H242" s="42"/>
      <c r="I242" s="44"/>
      <c r="J242" s="44">
        <f t="shared" si="80"/>
        <v>0</v>
      </c>
      <c r="K242" s="42"/>
      <c r="L242" s="42">
        <f t="shared" si="71"/>
        <v>0</v>
      </c>
      <c r="M242" s="42"/>
      <c r="N242" s="5"/>
      <c r="O242" s="6"/>
      <c r="P242" s="13"/>
      <c r="Q242" s="6"/>
      <c r="R242" s="6"/>
      <c r="S242" s="5"/>
      <c r="T242" s="12">
        <f t="shared" si="81"/>
        <v>0</v>
      </c>
      <c r="U242" s="45"/>
      <c r="V242" s="12">
        <f>+T242*0</f>
        <v>0</v>
      </c>
      <c r="W242" s="12">
        <f t="shared" si="82"/>
        <v>0</v>
      </c>
      <c r="X242" s="116"/>
      <c r="Y242" s="117">
        <f t="shared" si="74"/>
        <v>0</v>
      </c>
      <c r="Z242" s="12"/>
      <c r="AA242" s="12">
        <f t="shared" si="72"/>
        <v>0</v>
      </c>
      <c r="AB242" s="12"/>
      <c r="AC242" s="12">
        <f t="shared" si="79"/>
        <v>0</v>
      </c>
      <c r="AD242" s="42"/>
      <c r="AE242" s="42"/>
    </row>
    <row r="243" spans="1:31" s="7" customFormat="1" ht="23.25">
      <c r="A243" s="42"/>
      <c r="B243" s="42"/>
      <c r="C243" s="45"/>
      <c r="D243" s="45"/>
      <c r="E243" s="45"/>
      <c r="F243" s="47"/>
      <c r="G243" s="42"/>
      <c r="H243" s="42"/>
      <c r="I243" s="44"/>
      <c r="J243" s="44">
        <f t="shared" si="80"/>
        <v>0</v>
      </c>
      <c r="K243" s="42"/>
      <c r="L243" s="42">
        <f t="shared" si="71"/>
        <v>0</v>
      </c>
      <c r="M243" s="42"/>
      <c r="N243" s="42"/>
      <c r="O243" s="42"/>
      <c r="P243" s="45"/>
      <c r="Q243" s="42"/>
      <c r="R243" s="42"/>
      <c r="S243" s="42"/>
      <c r="T243" s="12">
        <f t="shared" si="81"/>
        <v>0</v>
      </c>
      <c r="U243" s="45"/>
      <c r="V243" s="12">
        <f>+T243*0</f>
        <v>0</v>
      </c>
      <c r="W243" s="12">
        <f t="shared" si="82"/>
        <v>0</v>
      </c>
      <c r="X243" s="116"/>
      <c r="Y243" s="117">
        <f t="shared" si="74"/>
        <v>0</v>
      </c>
      <c r="Z243" s="12"/>
      <c r="AA243" s="12">
        <f t="shared" si="72"/>
        <v>0</v>
      </c>
      <c r="AB243" s="12"/>
      <c r="AC243" s="12">
        <f t="shared" si="79"/>
        <v>0</v>
      </c>
      <c r="AD243" s="42"/>
      <c r="AE243" s="42"/>
    </row>
    <row r="244" spans="1:31" s="7" customFormat="1" ht="23.25">
      <c r="A244" s="42" t="s">
        <v>0</v>
      </c>
      <c r="B244" s="42" t="s">
        <v>1</v>
      </c>
      <c r="C244" s="45" t="s">
        <v>1396</v>
      </c>
      <c r="D244" s="45" t="s">
        <v>1398</v>
      </c>
      <c r="E244" s="10" t="s">
        <v>909</v>
      </c>
      <c r="F244" s="47" t="s">
        <v>137</v>
      </c>
      <c r="G244" s="42"/>
      <c r="H244" s="42">
        <v>2</v>
      </c>
      <c r="I244" s="44">
        <v>60.7</v>
      </c>
      <c r="J244" s="44">
        <f t="shared" si="80"/>
        <v>260.7</v>
      </c>
      <c r="K244" s="42">
        <v>20000</v>
      </c>
      <c r="L244" s="12">
        <f aca="true" t="shared" si="83" ref="L244:L249">+K244*J244</f>
        <v>5214000</v>
      </c>
      <c r="M244" s="42"/>
      <c r="N244" s="42" t="s">
        <v>64</v>
      </c>
      <c r="O244" s="101" t="s">
        <v>446</v>
      </c>
      <c r="P244" s="45" t="s">
        <v>137</v>
      </c>
      <c r="Q244" s="100">
        <v>121</v>
      </c>
      <c r="R244" s="100"/>
      <c r="S244" s="42">
        <v>6550</v>
      </c>
      <c r="T244" s="12">
        <f t="shared" si="81"/>
        <v>792550</v>
      </c>
      <c r="U244" s="102" t="s">
        <v>84</v>
      </c>
      <c r="V244" s="12">
        <f>+T244*0.2</f>
        <v>158510</v>
      </c>
      <c r="W244" s="12">
        <f t="shared" si="82"/>
        <v>634040</v>
      </c>
      <c r="X244" s="116"/>
      <c r="Y244" s="117">
        <f aca="true" t="shared" si="84" ref="Y244:Y249">+L244+W244</f>
        <v>5848040</v>
      </c>
      <c r="Z244" s="12">
        <f>+Y244</f>
        <v>5848040</v>
      </c>
      <c r="AA244" s="12">
        <f aca="true" t="shared" si="85" ref="AA244:AA249">+Y244-Z244</f>
        <v>0</v>
      </c>
      <c r="AB244" s="12"/>
      <c r="AC244" s="12">
        <f t="shared" si="79"/>
        <v>0</v>
      </c>
      <c r="AD244" s="31" t="s">
        <v>906</v>
      </c>
      <c r="AE244" s="12"/>
    </row>
    <row r="245" spans="1:31" s="7" customFormat="1" ht="23.25">
      <c r="A245" s="42" t="s">
        <v>0</v>
      </c>
      <c r="B245" s="42" t="s">
        <v>1</v>
      </c>
      <c r="C245" s="45" t="s">
        <v>1397</v>
      </c>
      <c r="D245" s="45" t="s">
        <v>1399</v>
      </c>
      <c r="E245" s="29" t="s">
        <v>907</v>
      </c>
      <c r="F245" s="47" t="s">
        <v>140</v>
      </c>
      <c r="G245" s="42"/>
      <c r="H245" s="42">
        <v>3</v>
      </c>
      <c r="I245" s="44">
        <v>39.2</v>
      </c>
      <c r="J245" s="44">
        <f t="shared" si="80"/>
        <v>339.2</v>
      </c>
      <c r="K245" s="42">
        <v>35000</v>
      </c>
      <c r="L245" s="12">
        <f t="shared" si="83"/>
        <v>11872000</v>
      </c>
      <c r="M245" s="42"/>
      <c r="N245" s="42"/>
      <c r="O245" s="100"/>
      <c r="P245" s="45"/>
      <c r="Q245" s="100"/>
      <c r="R245" s="100"/>
      <c r="S245" s="42"/>
      <c r="T245" s="12">
        <f t="shared" si="81"/>
        <v>0</v>
      </c>
      <c r="U245" s="45"/>
      <c r="V245" s="12">
        <f>+T245*0</f>
        <v>0</v>
      </c>
      <c r="W245" s="12">
        <f t="shared" si="82"/>
        <v>0</v>
      </c>
      <c r="X245" s="116"/>
      <c r="Y245" s="117">
        <f t="shared" si="84"/>
        <v>11872000</v>
      </c>
      <c r="Z245" s="12"/>
      <c r="AA245" s="12">
        <f t="shared" si="85"/>
        <v>11872000</v>
      </c>
      <c r="AB245" s="12">
        <v>0.3</v>
      </c>
      <c r="AC245" s="12">
        <f t="shared" si="79"/>
        <v>35616</v>
      </c>
      <c r="AD245" s="42"/>
      <c r="AE245" s="12"/>
    </row>
    <row r="246" spans="1:31" s="7" customFormat="1" ht="23.25">
      <c r="A246" s="42"/>
      <c r="B246" s="42"/>
      <c r="C246" s="45"/>
      <c r="D246" s="45"/>
      <c r="E246" s="45"/>
      <c r="F246" s="47"/>
      <c r="G246" s="42"/>
      <c r="H246" s="42"/>
      <c r="I246" s="44"/>
      <c r="J246" s="44">
        <f t="shared" si="80"/>
        <v>0</v>
      </c>
      <c r="K246" s="42"/>
      <c r="L246" s="42">
        <f t="shared" si="83"/>
        <v>0</v>
      </c>
      <c r="M246" s="42"/>
      <c r="N246" s="42"/>
      <c r="O246" s="42"/>
      <c r="P246" s="45"/>
      <c r="Q246" s="42"/>
      <c r="R246" s="42"/>
      <c r="S246" s="42"/>
      <c r="T246" s="12">
        <f t="shared" si="81"/>
        <v>0</v>
      </c>
      <c r="U246" s="45"/>
      <c r="V246" s="12">
        <f>+T246*0</f>
        <v>0</v>
      </c>
      <c r="W246" s="12">
        <f t="shared" si="82"/>
        <v>0</v>
      </c>
      <c r="X246" s="116"/>
      <c r="Y246" s="117">
        <f t="shared" si="84"/>
        <v>0</v>
      </c>
      <c r="Z246" s="12"/>
      <c r="AA246" s="12">
        <f t="shared" si="85"/>
        <v>0</v>
      </c>
      <c r="AB246" s="12"/>
      <c r="AC246" s="12">
        <f t="shared" si="79"/>
        <v>0</v>
      </c>
      <c r="AD246" s="42"/>
      <c r="AE246" s="42"/>
    </row>
    <row r="247" spans="1:31" s="7" customFormat="1" ht="23.25">
      <c r="A247" s="42" t="s">
        <v>0</v>
      </c>
      <c r="B247" s="42" t="s">
        <v>1</v>
      </c>
      <c r="C247" s="45" t="s">
        <v>1790</v>
      </c>
      <c r="D247" s="45" t="s">
        <v>1792</v>
      </c>
      <c r="E247" s="29" t="s">
        <v>907</v>
      </c>
      <c r="F247" s="47" t="s">
        <v>137</v>
      </c>
      <c r="G247" s="42"/>
      <c r="H247" s="42">
        <v>1</v>
      </c>
      <c r="I247" s="44"/>
      <c r="J247" s="44">
        <f t="shared" si="80"/>
        <v>100</v>
      </c>
      <c r="K247" s="42">
        <v>15000</v>
      </c>
      <c r="L247" s="12">
        <f t="shared" si="83"/>
        <v>1500000</v>
      </c>
      <c r="M247" s="42"/>
      <c r="N247" s="42" t="s">
        <v>64</v>
      </c>
      <c r="O247" s="104" t="s">
        <v>446</v>
      </c>
      <c r="P247" s="45" t="s">
        <v>137</v>
      </c>
      <c r="Q247" s="104">
        <v>176</v>
      </c>
      <c r="R247" s="100"/>
      <c r="S247" s="42">
        <v>6550</v>
      </c>
      <c r="T247" s="12">
        <f t="shared" si="81"/>
        <v>1152800</v>
      </c>
      <c r="U247" s="102" t="s">
        <v>74</v>
      </c>
      <c r="V247" s="12">
        <f>+T247*0.36</f>
        <v>415008</v>
      </c>
      <c r="W247" s="12">
        <f t="shared" si="82"/>
        <v>737792</v>
      </c>
      <c r="X247" s="116"/>
      <c r="Y247" s="117">
        <f t="shared" si="84"/>
        <v>2237792</v>
      </c>
      <c r="Z247" s="12"/>
      <c r="AA247" s="12">
        <f t="shared" si="85"/>
        <v>2237792</v>
      </c>
      <c r="AB247" s="12">
        <v>0.02</v>
      </c>
      <c r="AC247" s="12">
        <f t="shared" si="79"/>
        <v>447.55840000000006</v>
      </c>
      <c r="AD247" s="31"/>
      <c r="AE247" s="12"/>
    </row>
    <row r="248" spans="1:31" s="7" customFormat="1" ht="23.25">
      <c r="A248" s="42" t="s">
        <v>0</v>
      </c>
      <c r="B248" s="42" t="s">
        <v>1</v>
      </c>
      <c r="C248" s="45" t="s">
        <v>1791</v>
      </c>
      <c r="D248" s="51" t="s">
        <v>1793</v>
      </c>
      <c r="E248" s="29" t="s">
        <v>907</v>
      </c>
      <c r="F248" s="47" t="s">
        <v>140</v>
      </c>
      <c r="G248" s="42"/>
      <c r="H248" s="42"/>
      <c r="I248" s="44">
        <v>50.1</v>
      </c>
      <c r="J248" s="44">
        <f t="shared" si="80"/>
        <v>50.1</v>
      </c>
      <c r="K248" s="42">
        <v>6000</v>
      </c>
      <c r="L248" s="12">
        <f t="shared" si="83"/>
        <v>300600</v>
      </c>
      <c r="M248" s="42"/>
      <c r="N248" s="42"/>
      <c r="O248" s="100"/>
      <c r="P248" s="45"/>
      <c r="Q248" s="100"/>
      <c r="R248" s="100"/>
      <c r="S248" s="42"/>
      <c r="T248" s="12">
        <f t="shared" si="81"/>
        <v>0</v>
      </c>
      <c r="U248" s="45"/>
      <c r="V248" s="12">
        <f>+T248*0</f>
        <v>0</v>
      </c>
      <c r="W248" s="12">
        <f t="shared" si="82"/>
        <v>0</v>
      </c>
      <c r="X248" s="116"/>
      <c r="Y248" s="117">
        <f t="shared" si="84"/>
        <v>300600</v>
      </c>
      <c r="Z248" s="12"/>
      <c r="AA248" s="12">
        <f t="shared" si="85"/>
        <v>300600</v>
      </c>
      <c r="AB248" s="12">
        <v>0.3</v>
      </c>
      <c r="AC248" s="12">
        <f t="shared" si="79"/>
        <v>901.8</v>
      </c>
      <c r="AD248" s="42"/>
      <c r="AE248" s="12"/>
    </row>
    <row r="249" spans="1:31" s="7" customFormat="1" ht="23.25">
      <c r="A249" s="42"/>
      <c r="B249" s="42"/>
      <c r="C249" s="45"/>
      <c r="D249" s="45"/>
      <c r="E249" s="45"/>
      <c r="F249" s="47"/>
      <c r="G249" s="42"/>
      <c r="H249" s="42"/>
      <c r="I249" s="44"/>
      <c r="J249" s="44">
        <f t="shared" si="80"/>
        <v>0</v>
      </c>
      <c r="K249" s="42"/>
      <c r="L249" s="42">
        <f t="shared" si="83"/>
        <v>0</v>
      </c>
      <c r="M249" s="42"/>
      <c r="N249" s="42"/>
      <c r="O249" s="42"/>
      <c r="P249" s="45"/>
      <c r="Q249" s="42"/>
      <c r="R249" s="42"/>
      <c r="S249" s="42"/>
      <c r="T249" s="12">
        <f t="shared" si="81"/>
        <v>0</v>
      </c>
      <c r="U249" s="45"/>
      <c r="V249" s="12">
        <f>+T249*0</f>
        <v>0</v>
      </c>
      <c r="W249" s="12">
        <f t="shared" si="82"/>
        <v>0</v>
      </c>
      <c r="X249" s="116"/>
      <c r="Y249" s="117">
        <f t="shared" si="84"/>
        <v>0</v>
      </c>
      <c r="Z249" s="12"/>
      <c r="AA249" s="12">
        <f t="shared" si="85"/>
        <v>0</v>
      </c>
      <c r="AB249" s="12"/>
      <c r="AC249" s="12">
        <f t="shared" si="79"/>
        <v>0</v>
      </c>
      <c r="AD249" s="42"/>
      <c r="AE249" s="42"/>
    </row>
    <row r="250" spans="1:31" s="7" customFormat="1" ht="23.25">
      <c r="A250" s="42" t="s">
        <v>0</v>
      </c>
      <c r="B250" s="42" t="s">
        <v>1</v>
      </c>
      <c r="C250" s="45" t="s">
        <v>1012</v>
      </c>
      <c r="D250" s="45" t="s">
        <v>1803</v>
      </c>
      <c r="E250" s="10" t="s">
        <v>908</v>
      </c>
      <c r="F250" s="47" t="s">
        <v>143</v>
      </c>
      <c r="G250" s="42"/>
      <c r="H250" s="42"/>
      <c r="I250" s="44">
        <v>17.7</v>
      </c>
      <c r="J250" s="44">
        <f aca="true" t="shared" si="86" ref="J250:J261">+I250+(H250*100)+(G250*400)</f>
        <v>17.7</v>
      </c>
      <c r="K250" s="42">
        <v>13000</v>
      </c>
      <c r="L250" s="12">
        <f t="shared" si="71"/>
        <v>230100</v>
      </c>
      <c r="M250" s="42"/>
      <c r="N250" s="42" t="s">
        <v>60</v>
      </c>
      <c r="O250" s="104" t="s">
        <v>446</v>
      </c>
      <c r="P250" s="45" t="s">
        <v>143</v>
      </c>
      <c r="Q250" s="104">
        <v>112</v>
      </c>
      <c r="R250" s="100"/>
      <c r="S250" s="42">
        <v>7550</v>
      </c>
      <c r="T250" s="12">
        <f aca="true" t="shared" si="87" ref="T250:T261">+Q250*S250</f>
        <v>845600</v>
      </c>
      <c r="U250" s="102" t="s">
        <v>84</v>
      </c>
      <c r="V250" s="12">
        <f>+T250*0.2</f>
        <v>169120</v>
      </c>
      <c r="W250" s="12">
        <f aca="true" t="shared" si="88" ref="W250:W261">+T250-V250</f>
        <v>676480</v>
      </c>
      <c r="X250" s="116"/>
      <c r="Y250" s="117">
        <f t="shared" si="74"/>
        <v>906580</v>
      </c>
      <c r="Z250" s="12"/>
      <c r="AA250" s="12">
        <f t="shared" si="72"/>
        <v>906580</v>
      </c>
      <c r="AB250" s="12">
        <v>0.3</v>
      </c>
      <c r="AC250" s="12">
        <f aca="true" t="shared" si="89" ref="AC250:AC261">+AA250*AB250/100</f>
        <v>2719.74</v>
      </c>
      <c r="AD250" s="31"/>
      <c r="AE250" s="12"/>
    </row>
    <row r="251" spans="1:31" s="7" customFormat="1" ht="23.25">
      <c r="A251" s="42" t="s">
        <v>0</v>
      </c>
      <c r="B251" s="42" t="s">
        <v>1</v>
      </c>
      <c r="C251" s="45" t="s">
        <v>1794</v>
      </c>
      <c r="D251" s="45" t="s">
        <v>1804</v>
      </c>
      <c r="E251" s="10" t="s">
        <v>908</v>
      </c>
      <c r="F251" s="47" t="s">
        <v>137</v>
      </c>
      <c r="G251" s="42"/>
      <c r="H251" s="42"/>
      <c r="I251" s="44">
        <v>13.4</v>
      </c>
      <c r="J251" s="44">
        <f t="shared" si="86"/>
        <v>13.4</v>
      </c>
      <c r="K251" s="42">
        <v>20000</v>
      </c>
      <c r="L251" s="12">
        <f t="shared" si="71"/>
        <v>268000</v>
      </c>
      <c r="M251" s="42"/>
      <c r="N251" s="42" t="s">
        <v>60</v>
      </c>
      <c r="O251" s="104" t="s">
        <v>446</v>
      </c>
      <c r="P251" s="45" t="s">
        <v>137</v>
      </c>
      <c r="Q251" s="104">
        <v>80</v>
      </c>
      <c r="R251" s="100"/>
      <c r="S251" s="42">
        <v>7550</v>
      </c>
      <c r="T251" s="12">
        <f t="shared" si="87"/>
        <v>604000</v>
      </c>
      <c r="U251" s="102" t="s">
        <v>84</v>
      </c>
      <c r="V251" s="12">
        <f>+T251*0.2</f>
        <v>120800</v>
      </c>
      <c r="W251" s="12">
        <f t="shared" si="88"/>
        <v>483200</v>
      </c>
      <c r="X251" s="116"/>
      <c r="Y251" s="117">
        <f t="shared" si="74"/>
        <v>751200</v>
      </c>
      <c r="Z251" s="12"/>
      <c r="AA251" s="12">
        <f t="shared" si="72"/>
        <v>751200</v>
      </c>
      <c r="AB251" s="12">
        <v>0.02</v>
      </c>
      <c r="AC251" s="12">
        <f t="shared" si="89"/>
        <v>150.24</v>
      </c>
      <c r="AD251" s="42"/>
      <c r="AE251" s="12"/>
    </row>
    <row r="252" spans="1:31" s="7" customFormat="1" ht="23.25">
      <c r="A252" s="42" t="s">
        <v>0</v>
      </c>
      <c r="B252" s="42" t="s">
        <v>1</v>
      </c>
      <c r="C252" s="45" t="s">
        <v>1795</v>
      </c>
      <c r="D252" s="45" t="s">
        <v>1805</v>
      </c>
      <c r="E252" s="10" t="s">
        <v>908</v>
      </c>
      <c r="F252" s="47" t="s">
        <v>137</v>
      </c>
      <c r="G252" s="42"/>
      <c r="H252" s="42"/>
      <c r="I252" s="44">
        <v>13.6</v>
      </c>
      <c r="J252" s="44">
        <f t="shared" si="86"/>
        <v>13.6</v>
      </c>
      <c r="K252" s="42">
        <v>52000</v>
      </c>
      <c r="L252" s="12">
        <f aca="true" t="shared" si="90" ref="L252:L258">+K252*J252</f>
        <v>707200</v>
      </c>
      <c r="M252" s="42"/>
      <c r="N252" s="42" t="s">
        <v>64</v>
      </c>
      <c r="O252" s="104" t="s">
        <v>446</v>
      </c>
      <c r="P252" s="45" t="s">
        <v>137</v>
      </c>
      <c r="Q252" s="104">
        <v>60</v>
      </c>
      <c r="R252" s="100"/>
      <c r="S252" s="42">
        <v>6550</v>
      </c>
      <c r="T252" s="12">
        <f t="shared" si="87"/>
        <v>393000</v>
      </c>
      <c r="U252" s="102" t="s">
        <v>84</v>
      </c>
      <c r="V252" s="12">
        <f>+T252*0.2</f>
        <v>78600</v>
      </c>
      <c r="W252" s="12">
        <f t="shared" si="88"/>
        <v>314400</v>
      </c>
      <c r="X252" s="116"/>
      <c r="Y252" s="117">
        <f>+L252+W252</f>
        <v>1021600</v>
      </c>
      <c r="Z252" s="12"/>
      <c r="AA252" s="12">
        <f aca="true" t="shared" si="91" ref="AA252:AA258">+Y252-Z252</f>
        <v>1021600</v>
      </c>
      <c r="AB252" s="12">
        <v>0.02</v>
      </c>
      <c r="AC252" s="12">
        <f t="shared" si="89"/>
        <v>204.32</v>
      </c>
      <c r="AD252" s="31"/>
      <c r="AE252" s="12"/>
    </row>
    <row r="253" spans="1:31" s="7" customFormat="1" ht="23.25">
      <c r="A253" s="42" t="s">
        <v>0</v>
      </c>
      <c r="B253" s="42" t="s">
        <v>1</v>
      </c>
      <c r="C253" s="45" t="s">
        <v>1796</v>
      </c>
      <c r="D253" s="45" t="s">
        <v>1806</v>
      </c>
      <c r="E253" s="29" t="s">
        <v>909</v>
      </c>
      <c r="F253" s="47" t="s">
        <v>137</v>
      </c>
      <c r="G253" s="42">
        <v>1</v>
      </c>
      <c r="H253" s="42"/>
      <c r="I253" s="44">
        <v>19.6</v>
      </c>
      <c r="J253" s="44">
        <f t="shared" si="86"/>
        <v>419.6</v>
      </c>
      <c r="K253" s="42">
        <v>8750</v>
      </c>
      <c r="L253" s="12">
        <f t="shared" si="90"/>
        <v>3671500</v>
      </c>
      <c r="M253" s="42">
        <v>1</v>
      </c>
      <c r="N253" s="42" t="s">
        <v>64</v>
      </c>
      <c r="O253" s="104" t="s">
        <v>446</v>
      </c>
      <c r="P253" s="45" t="s">
        <v>137</v>
      </c>
      <c r="Q253" s="104">
        <f>160+24</f>
        <v>184</v>
      </c>
      <c r="R253" s="103">
        <v>75.41</v>
      </c>
      <c r="S253" s="42">
        <v>6550</v>
      </c>
      <c r="T253" s="12">
        <f t="shared" si="87"/>
        <v>1205200</v>
      </c>
      <c r="U253" s="102" t="s">
        <v>74</v>
      </c>
      <c r="V253" s="12">
        <f>+T253*0.36</f>
        <v>433872</v>
      </c>
      <c r="W253" s="12">
        <f t="shared" si="88"/>
        <v>771328</v>
      </c>
      <c r="X253" s="116"/>
      <c r="Y253" s="117">
        <f>+L253*(R253/100)+W253</f>
        <v>3540006.15</v>
      </c>
      <c r="Z253" s="12"/>
      <c r="AA253" s="12">
        <f t="shared" si="91"/>
        <v>3540006.15</v>
      </c>
      <c r="AB253" s="12">
        <v>0.02</v>
      </c>
      <c r="AC253" s="12">
        <f t="shared" si="89"/>
        <v>708.0012300000001</v>
      </c>
      <c r="AD253" s="42"/>
      <c r="AE253" s="12"/>
    </row>
    <row r="254" spans="1:31" s="7" customFormat="1" ht="23.25">
      <c r="A254" s="42" t="s">
        <v>0</v>
      </c>
      <c r="B254" s="42"/>
      <c r="C254" s="45"/>
      <c r="D254" s="45"/>
      <c r="E254" s="45"/>
      <c r="F254" s="47"/>
      <c r="G254" s="42"/>
      <c r="H254" s="42"/>
      <c r="I254" s="44"/>
      <c r="J254" s="44">
        <f t="shared" si="86"/>
        <v>0</v>
      </c>
      <c r="K254" s="42"/>
      <c r="L254" s="12">
        <f t="shared" si="90"/>
        <v>0</v>
      </c>
      <c r="M254" s="42">
        <v>2</v>
      </c>
      <c r="N254" s="42" t="s">
        <v>117</v>
      </c>
      <c r="O254" s="104" t="s">
        <v>446</v>
      </c>
      <c r="P254" s="45" t="s">
        <v>137</v>
      </c>
      <c r="Q254" s="104">
        <v>60</v>
      </c>
      <c r="R254" s="103">
        <v>24.59</v>
      </c>
      <c r="S254" s="42">
        <v>2500</v>
      </c>
      <c r="T254" s="12">
        <f t="shared" si="87"/>
        <v>150000</v>
      </c>
      <c r="U254" s="102" t="s">
        <v>74</v>
      </c>
      <c r="V254" s="12">
        <f>+T254*0.36</f>
        <v>54000</v>
      </c>
      <c r="W254" s="12">
        <f t="shared" si="88"/>
        <v>96000</v>
      </c>
      <c r="X254" s="116"/>
      <c r="Y254" s="117">
        <f>+L253*(R254/100)+W254</f>
        <v>998821.85</v>
      </c>
      <c r="Z254" s="12"/>
      <c r="AA254" s="12">
        <f t="shared" si="91"/>
        <v>998821.85</v>
      </c>
      <c r="AB254" s="12">
        <v>0.02</v>
      </c>
      <c r="AC254" s="12">
        <f t="shared" si="89"/>
        <v>199.76437</v>
      </c>
      <c r="AD254" s="42"/>
      <c r="AE254" s="42"/>
    </row>
    <row r="255" spans="1:31" s="7" customFormat="1" ht="23.25">
      <c r="A255" s="42" t="s">
        <v>0</v>
      </c>
      <c r="B255" s="42" t="s">
        <v>1</v>
      </c>
      <c r="C255" s="45" t="s">
        <v>1797</v>
      </c>
      <c r="D255" s="45" t="s">
        <v>1807</v>
      </c>
      <c r="E255" s="29" t="s">
        <v>909</v>
      </c>
      <c r="F255" s="47" t="s">
        <v>137</v>
      </c>
      <c r="G255" s="42"/>
      <c r="H255" s="42"/>
      <c r="I255" s="44">
        <v>75.7</v>
      </c>
      <c r="J255" s="44">
        <f t="shared" si="86"/>
        <v>75.7</v>
      </c>
      <c r="K255" s="42">
        <v>24500</v>
      </c>
      <c r="L255" s="12">
        <f t="shared" si="90"/>
        <v>1854650</v>
      </c>
      <c r="M255" s="42"/>
      <c r="N255" s="42" t="s">
        <v>64</v>
      </c>
      <c r="O255" s="104" t="s">
        <v>446</v>
      </c>
      <c r="P255" s="45" t="s">
        <v>137</v>
      </c>
      <c r="Q255" s="104">
        <v>81</v>
      </c>
      <c r="R255" s="100"/>
      <c r="S255" s="42">
        <v>6550</v>
      </c>
      <c r="T255" s="12">
        <f t="shared" si="87"/>
        <v>530550</v>
      </c>
      <c r="U255" s="102" t="s">
        <v>82</v>
      </c>
      <c r="V255" s="12">
        <f>+T255*0.16</f>
        <v>84888</v>
      </c>
      <c r="W255" s="12">
        <f t="shared" si="88"/>
        <v>445662</v>
      </c>
      <c r="X255" s="116"/>
      <c r="Y255" s="117">
        <f>+L255+W255</f>
        <v>2300312</v>
      </c>
      <c r="Z255" s="12"/>
      <c r="AA255" s="12">
        <f t="shared" si="91"/>
        <v>2300312</v>
      </c>
      <c r="AB255" s="12">
        <v>0.02</v>
      </c>
      <c r="AC255" s="12">
        <f t="shared" si="89"/>
        <v>460.06239999999997</v>
      </c>
      <c r="AD255" s="31"/>
      <c r="AE255" s="12"/>
    </row>
    <row r="256" spans="1:31" s="7" customFormat="1" ht="23.25">
      <c r="A256" s="42" t="s">
        <v>0</v>
      </c>
      <c r="B256" s="42" t="s">
        <v>1</v>
      </c>
      <c r="C256" s="45" t="s">
        <v>1798</v>
      </c>
      <c r="D256" s="45" t="s">
        <v>1808</v>
      </c>
      <c r="E256" s="29" t="s">
        <v>907</v>
      </c>
      <c r="F256" s="47" t="s">
        <v>137</v>
      </c>
      <c r="G256" s="42"/>
      <c r="H256" s="42"/>
      <c r="I256" s="44">
        <v>18</v>
      </c>
      <c r="J256" s="44">
        <f t="shared" si="86"/>
        <v>18</v>
      </c>
      <c r="K256" s="42">
        <v>15000</v>
      </c>
      <c r="L256" s="12">
        <f t="shared" si="90"/>
        <v>270000</v>
      </c>
      <c r="M256" s="42"/>
      <c r="N256" s="42" t="s">
        <v>62</v>
      </c>
      <c r="O256" s="104" t="s">
        <v>446</v>
      </c>
      <c r="P256" s="45" t="s">
        <v>137</v>
      </c>
      <c r="Q256" s="104">
        <v>88</v>
      </c>
      <c r="R256" s="104"/>
      <c r="S256" s="42">
        <v>6750</v>
      </c>
      <c r="T256" s="12">
        <f t="shared" si="87"/>
        <v>594000</v>
      </c>
      <c r="U256" s="102" t="s">
        <v>84</v>
      </c>
      <c r="V256" s="12">
        <f>+T256*0.2</f>
        <v>118800</v>
      </c>
      <c r="W256" s="12">
        <f t="shared" si="88"/>
        <v>475200</v>
      </c>
      <c r="X256" s="116"/>
      <c r="Y256" s="117">
        <f>+L256+W256</f>
        <v>745200</v>
      </c>
      <c r="Z256" s="12"/>
      <c r="AA256" s="12">
        <f t="shared" si="91"/>
        <v>745200</v>
      </c>
      <c r="AB256" s="12">
        <v>0.02</v>
      </c>
      <c r="AC256" s="12">
        <f t="shared" si="89"/>
        <v>149.04</v>
      </c>
      <c r="AD256" s="42"/>
      <c r="AE256" s="12"/>
    </row>
    <row r="257" spans="1:31" s="7" customFormat="1" ht="23.25">
      <c r="A257" s="42" t="s">
        <v>0</v>
      </c>
      <c r="B257" s="42" t="s">
        <v>1</v>
      </c>
      <c r="C257" s="45" t="s">
        <v>529</v>
      </c>
      <c r="D257" s="45" t="s">
        <v>1809</v>
      </c>
      <c r="E257" s="29" t="s">
        <v>907</v>
      </c>
      <c r="F257" s="47" t="s">
        <v>140</v>
      </c>
      <c r="G257" s="42"/>
      <c r="H257" s="42">
        <v>2</v>
      </c>
      <c r="I257" s="44"/>
      <c r="J257" s="44">
        <f t="shared" si="86"/>
        <v>200</v>
      </c>
      <c r="K257" s="42">
        <v>5000</v>
      </c>
      <c r="L257" s="12">
        <f t="shared" si="90"/>
        <v>1000000</v>
      </c>
      <c r="M257" s="42"/>
      <c r="N257" s="42"/>
      <c r="O257" s="101"/>
      <c r="P257" s="45"/>
      <c r="Q257" s="100"/>
      <c r="R257" s="100"/>
      <c r="S257" s="42"/>
      <c r="T257" s="12">
        <f t="shared" si="87"/>
        <v>0</v>
      </c>
      <c r="U257" s="102"/>
      <c r="V257" s="12">
        <f>+T257*0.2</f>
        <v>0</v>
      </c>
      <c r="W257" s="12">
        <f t="shared" si="88"/>
        <v>0</v>
      </c>
      <c r="X257" s="116"/>
      <c r="Y257" s="117">
        <f>+L257+W257</f>
        <v>1000000</v>
      </c>
      <c r="Z257" s="12"/>
      <c r="AA257" s="12">
        <f t="shared" si="91"/>
        <v>1000000</v>
      </c>
      <c r="AB257" s="12">
        <v>0.3</v>
      </c>
      <c r="AC257" s="12">
        <f t="shared" si="89"/>
        <v>3000</v>
      </c>
      <c r="AD257" s="31"/>
      <c r="AE257" s="12"/>
    </row>
    <row r="258" spans="1:31" s="7" customFormat="1" ht="23.25">
      <c r="A258" s="42" t="s">
        <v>0</v>
      </c>
      <c r="B258" s="42" t="s">
        <v>1</v>
      </c>
      <c r="C258" s="45" t="s">
        <v>1799</v>
      </c>
      <c r="D258" s="45" t="s">
        <v>1810</v>
      </c>
      <c r="E258" s="29" t="s">
        <v>907</v>
      </c>
      <c r="F258" s="47" t="s">
        <v>143</v>
      </c>
      <c r="G258" s="42"/>
      <c r="H258" s="42"/>
      <c r="I258" s="44">
        <v>20</v>
      </c>
      <c r="J258" s="44">
        <f t="shared" si="86"/>
        <v>20</v>
      </c>
      <c r="K258" s="42">
        <v>25000</v>
      </c>
      <c r="L258" s="12">
        <f t="shared" si="90"/>
        <v>500000</v>
      </c>
      <c r="M258" s="42"/>
      <c r="N258" s="42" t="s">
        <v>112</v>
      </c>
      <c r="O258" s="104" t="s">
        <v>454</v>
      </c>
      <c r="P258" s="45" t="s">
        <v>143</v>
      </c>
      <c r="Q258" s="104">
        <v>30</v>
      </c>
      <c r="R258" s="104"/>
      <c r="S258" s="42">
        <v>3500</v>
      </c>
      <c r="T258" s="12">
        <f t="shared" si="87"/>
        <v>105000</v>
      </c>
      <c r="U258" s="45" t="s">
        <v>1783</v>
      </c>
      <c r="V258" s="12">
        <f>+T258*0.65</f>
        <v>68250</v>
      </c>
      <c r="W258" s="12">
        <f t="shared" si="88"/>
        <v>36750</v>
      </c>
      <c r="X258" s="116"/>
      <c r="Y258" s="117">
        <f>+L258+W258</f>
        <v>536750</v>
      </c>
      <c r="Z258" s="12"/>
      <c r="AA258" s="12">
        <f t="shared" si="91"/>
        <v>536750</v>
      </c>
      <c r="AB258" s="12">
        <v>0.3</v>
      </c>
      <c r="AC258" s="12">
        <f t="shared" si="89"/>
        <v>1610.25</v>
      </c>
      <c r="AD258" s="42"/>
      <c r="AE258" s="12"/>
    </row>
    <row r="259" spans="1:31" s="7" customFormat="1" ht="23.25">
      <c r="A259" s="42" t="s">
        <v>0</v>
      </c>
      <c r="B259" s="42" t="s">
        <v>1</v>
      </c>
      <c r="C259" s="45" t="s">
        <v>1800</v>
      </c>
      <c r="D259" s="45" t="s">
        <v>1811</v>
      </c>
      <c r="E259" s="29" t="s">
        <v>907</v>
      </c>
      <c r="F259" s="47" t="s">
        <v>143</v>
      </c>
      <c r="G259" s="42"/>
      <c r="H259" s="42"/>
      <c r="I259" s="44">
        <v>20</v>
      </c>
      <c r="J259" s="44">
        <f t="shared" si="86"/>
        <v>20</v>
      </c>
      <c r="K259" s="42">
        <v>25000</v>
      </c>
      <c r="L259" s="12">
        <f t="shared" si="71"/>
        <v>500000</v>
      </c>
      <c r="M259" s="42"/>
      <c r="N259" s="42"/>
      <c r="O259" s="42"/>
      <c r="P259" s="45"/>
      <c r="Q259" s="42"/>
      <c r="R259" s="42"/>
      <c r="S259" s="42"/>
      <c r="T259" s="12">
        <f t="shared" si="87"/>
        <v>0</v>
      </c>
      <c r="U259" s="45"/>
      <c r="V259" s="12">
        <f>+T259*0</f>
        <v>0</v>
      </c>
      <c r="W259" s="12">
        <f t="shared" si="88"/>
        <v>0</v>
      </c>
      <c r="X259" s="116"/>
      <c r="Y259" s="117">
        <f t="shared" si="74"/>
        <v>500000</v>
      </c>
      <c r="Z259" s="12"/>
      <c r="AA259" s="12">
        <f t="shared" si="72"/>
        <v>500000</v>
      </c>
      <c r="AB259" s="12">
        <v>0.3</v>
      </c>
      <c r="AC259" s="12">
        <f t="shared" si="89"/>
        <v>1500</v>
      </c>
      <c r="AD259" s="42"/>
      <c r="AE259" s="42"/>
    </row>
    <row r="260" spans="1:31" s="7" customFormat="1" ht="23.25">
      <c r="A260" s="42" t="s">
        <v>0</v>
      </c>
      <c r="B260" s="42" t="s">
        <v>1</v>
      </c>
      <c r="C260" s="45" t="s">
        <v>1801</v>
      </c>
      <c r="D260" s="45" t="s">
        <v>1812</v>
      </c>
      <c r="E260" s="29" t="s">
        <v>907</v>
      </c>
      <c r="F260" s="47" t="s">
        <v>143</v>
      </c>
      <c r="G260" s="42"/>
      <c r="H260" s="42"/>
      <c r="I260" s="44">
        <v>20</v>
      </c>
      <c r="J260" s="44">
        <f t="shared" si="86"/>
        <v>20</v>
      </c>
      <c r="K260" s="42">
        <v>25000</v>
      </c>
      <c r="L260" s="12">
        <f aca="true" t="shared" si="92" ref="L260:L274">+K260*J260</f>
        <v>500000</v>
      </c>
      <c r="M260" s="42"/>
      <c r="N260" s="42"/>
      <c r="O260" s="42"/>
      <c r="P260" s="45"/>
      <c r="Q260" s="42"/>
      <c r="R260" s="42"/>
      <c r="S260" s="42"/>
      <c r="T260" s="12">
        <f t="shared" si="87"/>
        <v>0</v>
      </c>
      <c r="U260" s="45"/>
      <c r="V260" s="12">
        <f>+T260*0</f>
        <v>0</v>
      </c>
      <c r="W260" s="12">
        <f t="shared" si="88"/>
        <v>0</v>
      </c>
      <c r="X260" s="116"/>
      <c r="Y260" s="117">
        <f t="shared" si="74"/>
        <v>500000</v>
      </c>
      <c r="Z260" s="12"/>
      <c r="AA260" s="12">
        <f t="shared" si="72"/>
        <v>500000</v>
      </c>
      <c r="AB260" s="12">
        <v>0.3</v>
      </c>
      <c r="AC260" s="12">
        <f t="shared" si="89"/>
        <v>1500</v>
      </c>
      <c r="AD260" s="42"/>
      <c r="AE260" s="42"/>
    </row>
    <row r="261" spans="1:31" s="7" customFormat="1" ht="23.25">
      <c r="A261" s="42" t="s">
        <v>0</v>
      </c>
      <c r="B261" s="42" t="s">
        <v>1</v>
      </c>
      <c r="C261" s="45" t="s">
        <v>1802</v>
      </c>
      <c r="D261" s="45" t="s">
        <v>1537</v>
      </c>
      <c r="E261" s="29" t="s">
        <v>907</v>
      </c>
      <c r="F261" s="47" t="s">
        <v>137</v>
      </c>
      <c r="G261" s="42"/>
      <c r="H261" s="42"/>
      <c r="I261" s="44">
        <v>19.3</v>
      </c>
      <c r="J261" s="44">
        <f t="shared" si="86"/>
        <v>19.3</v>
      </c>
      <c r="K261" s="42">
        <v>15000</v>
      </c>
      <c r="L261" s="12">
        <f t="shared" si="92"/>
        <v>289500</v>
      </c>
      <c r="M261" s="42"/>
      <c r="N261" s="42" t="s">
        <v>62</v>
      </c>
      <c r="O261" s="104" t="s">
        <v>446</v>
      </c>
      <c r="P261" s="45" t="s">
        <v>137</v>
      </c>
      <c r="Q261" s="104"/>
      <c r="R261" s="104"/>
      <c r="S261" s="42">
        <v>6750</v>
      </c>
      <c r="T261" s="12">
        <f t="shared" si="87"/>
        <v>0</v>
      </c>
      <c r="U261" s="102" t="s">
        <v>84</v>
      </c>
      <c r="V261" s="12">
        <f>+T261*0.2</f>
        <v>0</v>
      </c>
      <c r="W261" s="12">
        <f t="shared" si="88"/>
        <v>0</v>
      </c>
      <c r="X261" s="116"/>
      <c r="Y261" s="117">
        <f t="shared" si="74"/>
        <v>289500</v>
      </c>
      <c r="Z261" s="12"/>
      <c r="AA261" s="12">
        <f t="shared" si="72"/>
        <v>289500</v>
      </c>
      <c r="AB261" s="12">
        <v>0.02</v>
      </c>
      <c r="AC261" s="12">
        <f t="shared" si="89"/>
        <v>57.9</v>
      </c>
      <c r="AD261" s="42"/>
      <c r="AE261" s="42"/>
    </row>
    <row r="262" spans="1:31" s="7" customFormat="1" ht="23.25">
      <c r="A262" s="42" t="s">
        <v>0</v>
      </c>
      <c r="B262" s="42" t="s">
        <v>1</v>
      </c>
      <c r="C262" s="45" t="s">
        <v>1203</v>
      </c>
      <c r="D262" s="51" t="s">
        <v>807</v>
      </c>
      <c r="E262" s="10" t="s">
        <v>909</v>
      </c>
      <c r="F262" s="47" t="s">
        <v>177</v>
      </c>
      <c r="G262" s="42">
        <v>8</v>
      </c>
      <c r="H262" s="42"/>
      <c r="I262" s="44">
        <v>58</v>
      </c>
      <c r="J262" s="44">
        <f aca="true" t="shared" si="93" ref="J262:J274">+I262+(H262*100)+(G262*400)</f>
        <v>3258</v>
      </c>
      <c r="K262" s="42">
        <v>1500</v>
      </c>
      <c r="L262" s="12">
        <f t="shared" si="92"/>
        <v>4887000</v>
      </c>
      <c r="M262" s="42"/>
      <c r="N262" s="42"/>
      <c r="O262" s="100"/>
      <c r="P262" s="45"/>
      <c r="Q262" s="100"/>
      <c r="R262" s="100"/>
      <c r="S262" s="42"/>
      <c r="T262" s="12">
        <f aca="true" t="shared" si="94" ref="T262:T274">+Q262*S262</f>
        <v>0</v>
      </c>
      <c r="U262" s="45"/>
      <c r="V262" s="12">
        <f>+T262*0</f>
        <v>0</v>
      </c>
      <c r="W262" s="12">
        <f aca="true" t="shared" si="95" ref="W262:W274">+T262-V262</f>
        <v>0</v>
      </c>
      <c r="X262" s="116"/>
      <c r="Y262" s="117">
        <f>+L262+W262</f>
        <v>4887000</v>
      </c>
      <c r="Z262" s="12">
        <f>+Y262</f>
        <v>4887000</v>
      </c>
      <c r="AA262" s="12">
        <f aca="true" t="shared" si="96" ref="AA262:AA274">+Y262-Z262</f>
        <v>0</v>
      </c>
      <c r="AB262" s="12"/>
      <c r="AC262" s="12">
        <f aca="true" t="shared" si="97" ref="AC262:AC274">+AA262*AB262/100</f>
        <v>0</v>
      </c>
      <c r="AD262" s="42"/>
      <c r="AE262" s="12" t="e">
        <f>+AC262*#REF!/#REF!</f>
        <v>#REF!</v>
      </c>
    </row>
    <row r="263" spans="1:31" s="7" customFormat="1" ht="23.25">
      <c r="A263" s="42" t="s">
        <v>0</v>
      </c>
      <c r="B263" s="42" t="s">
        <v>1</v>
      </c>
      <c r="C263" s="45" t="s">
        <v>1204</v>
      </c>
      <c r="D263" s="51" t="s">
        <v>808</v>
      </c>
      <c r="E263" s="10" t="s">
        <v>909</v>
      </c>
      <c r="F263" s="47" t="s">
        <v>137</v>
      </c>
      <c r="G263" s="42">
        <v>2</v>
      </c>
      <c r="H263" s="42">
        <v>3</v>
      </c>
      <c r="I263" s="44"/>
      <c r="J263" s="44">
        <f t="shared" si="93"/>
        <v>1100</v>
      </c>
      <c r="K263" s="42">
        <v>21000</v>
      </c>
      <c r="L263" s="12">
        <f t="shared" si="92"/>
        <v>23100000</v>
      </c>
      <c r="M263" s="42">
        <v>1</v>
      </c>
      <c r="N263" s="42" t="s">
        <v>64</v>
      </c>
      <c r="O263" s="101" t="s">
        <v>446</v>
      </c>
      <c r="P263" s="45">
        <v>2</v>
      </c>
      <c r="Q263" s="100">
        <v>85</v>
      </c>
      <c r="R263" s="103">
        <v>6.3</v>
      </c>
      <c r="S263" s="42">
        <v>6550</v>
      </c>
      <c r="T263" s="12">
        <f t="shared" si="94"/>
        <v>556750</v>
      </c>
      <c r="U263" s="102" t="s">
        <v>1783</v>
      </c>
      <c r="V263" s="12">
        <f>+T263*0.65</f>
        <v>361887.5</v>
      </c>
      <c r="W263" s="12">
        <f t="shared" si="95"/>
        <v>194862.5</v>
      </c>
      <c r="X263" s="116"/>
      <c r="Y263" s="43">
        <f>+L263*(R263/100)+W263</f>
        <v>1650162.5</v>
      </c>
      <c r="Z263" s="12"/>
      <c r="AA263" s="12">
        <f t="shared" si="96"/>
        <v>1650162.5</v>
      </c>
      <c r="AB263" s="12">
        <v>0.02</v>
      </c>
      <c r="AC263" s="12">
        <f t="shared" si="97"/>
        <v>330.0325</v>
      </c>
      <c r="AD263" s="42"/>
      <c r="AE263" s="12" t="e">
        <f>+AC263*#REF!/#REF!</f>
        <v>#REF!</v>
      </c>
    </row>
    <row r="264" spans="1:31" s="7" customFormat="1" ht="23.25">
      <c r="A264" s="42" t="s">
        <v>0</v>
      </c>
      <c r="B264" s="42"/>
      <c r="C264" s="45"/>
      <c r="D264" s="45"/>
      <c r="E264" s="45"/>
      <c r="F264" s="47"/>
      <c r="G264" s="42"/>
      <c r="H264" s="42"/>
      <c r="I264" s="44"/>
      <c r="J264" s="44">
        <f t="shared" si="93"/>
        <v>0</v>
      </c>
      <c r="K264" s="42"/>
      <c r="L264" s="12">
        <f t="shared" si="92"/>
        <v>0</v>
      </c>
      <c r="M264" s="42">
        <v>2</v>
      </c>
      <c r="N264" s="42" t="s">
        <v>64</v>
      </c>
      <c r="O264" s="101" t="s">
        <v>446</v>
      </c>
      <c r="P264" s="45">
        <v>2</v>
      </c>
      <c r="Q264" s="100">
        <v>15</v>
      </c>
      <c r="R264" s="103">
        <v>1.11</v>
      </c>
      <c r="S264" s="42">
        <v>6550</v>
      </c>
      <c r="T264" s="12">
        <f t="shared" si="94"/>
        <v>98250</v>
      </c>
      <c r="U264" s="102" t="s">
        <v>1783</v>
      </c>
      <c r="V264" s="12">
        <f>+T264*0.65</f>
        <v>63862.5</v>
      </c>
      <c r="W264" s="12">
        <f t="shared" si="95"/>
        <v>34387.5</v>
      </c>
      <c r="X264" s="116"/>
      <c r="Y264" s="43">
        <f>+L263*(R264/100)+W264</f>
        <v>290797.5</v>
      </c>
      <c r="Z264" s="12"/>
      <c r="AA264" s="12">
        <f t="shared" si="96"/>
        <v>290797.5</v>
      </c>
      <c r="AB264" s="12">
        <v>0.3</v>
      </c>
      <c r="AC264" s="12">
        <f t="shared" si="97"/>
        <v>872.3925</v>
      </c>
      <c r="AD264" s="42"/>
      <c r="AE264" s="12" t="e">
        <f>+AC264*#REF!/#REF!</f>
        <v>#REF!</v>
      </c>
    </row>
    <row r="265" spans="1:31" s="7" customFormat="1" ht="23.25">
      <c r="A265" s="42" t="s">
        <v>0</v>
      </c>
      <c r="B265" s="42"/>
      <c r="C265" s="45"/>
      <c r="D265" s="45"/>
      <c r="E265" s="45"/>
      <c r="F265" s="47"/>
      <c r="G265" s="42"/>
      <c r="H265" s="42"/>
      <c r="I265" s="44"/>
      <c r="J265" s="44">
        <f t="shared" si="93"/>
        <v>0</v>
      </c>
      <c r="K265" s="42"/>
      <c r="L265" s="12">
        <f t="shared" si="92"/>
        <v>0</v>
      </c>
      <c r="M265" s="42">
        <v>3</v>
      </c>
      <c r="N265" s="42" t="s">
        <v>64</v>
      </c>
      <c r="O265" s="101" t="s">
        <v>446</v>
      </c>
      <c r="P265" s="45">
        <v>2</v>
      </c>
      <c r="Q265" s="100">
        <v>300</v>
      </c>
      <c r="R265" s="103">
        <v>22.25</v>
      </c>
      <c r="S265" s="42">
        <v>6550</v>
      </c>
      <c r="T265" s="12">
        <f t="shared" si="94"/>
        <v>1965000</v>
      </c>
      <c r="U265" s="102" t="s">
        <v>81</v>
      </c>
      <c r="V265" s="42">
        <f>+T265*0.12</f>
        <v>235800</v>
      </c>
      <c r="W265" s="12">
        <f t="shared" si="95"/>
        <v>1729200</v>
      </c>
      <c r="X265" s="116"/>
      <c r="Y265" s="43">
        <f>+L263*(R265/100)+W265</f>
        <v>6868950</v>
      </c>
      <c r="Z265" s="12"/>
      <c r="AA265" s="12">
        <f t="shared" si="96"/>
        <v>6868950</v>
      </c>
      <c r="AB265" s="12">
        <v>0.02</v>
      </c>
      <c r="AC265" s="12">
        <f t="shared" si="97"/>
        <v>1373.79</v>
      </c>
      <c r="AD265" s="42"/>
      <c r="AE265" s="12" t="e">
        <f>+AC265*#REF!/#REF!</f>
        <v>#REF!</v>
      </c>
    </row>
    <row r="266" spans="1:31" s="7" customFormat="1" ht="23.25">
      <c r="A266" s="42" t="s">
        <v>0</v>
      </c>
      <c r="B266" s="42"/>
      <c r="C266" s="45"/>
      <c r="D266" s="45"/>
      <c r="E266" s="45"/>
      <c r="F266" s="47"/>
      <c r="G266" s="42"/>
      <c r="H266" s="42"/>
      <c r="I266" s="44"/>
      <c r="J266" s="44">
        <f t="shared" si="93"/>
        <v>0</v>
      </c>
      <c r="K266" s="42"/>
      <c r="L266" s="12">
        <f t="shared" si="92"/>
        <v>0</v>
      </c>
      <c r="M266" s="42">
        <v>4</v>
      </c>
      <c r="N266" s="42" t="s">
        <v>1854</v>
      </c>
      <c r="O266" s="101" t="s">
        <v>446</v>
      </c>
      <c r="P266" s="45">
        <v>2</v>
      </c>
      <c r="Q266" s="100">
        <f>210+80+266+200</f>
        <v>756</v>
      </c>
      <c r="R266" s="103">
        <v>56.08</v>
      </c>
      <c r="S266" s="42">
        <v>6550</v>
      </c>
      <c r="T266" s="12">
        <f t="shared" si="94"/>
        <v>4951800</v>
      </c>
      <c r="U266" s="102" t="s">
        <v>74</v>
      </c>
      <c r="V266" s="42">
        <f>+T266*0.36</f>
        <v>1782648</v>
      </c>
      <c r="W266" s="12">
        <f t="shared" si="95"/>
        <v>3169152</v>
      </c>
      <c r="X266" s="116"/>
      <c r="Y266" s="43">
        <f>+L263*(R266/100)+W266</f>
        <v>16123632</v>
      </c>
      <c r="Z266" s="12"/>
      <c r="AA266" s="12">
        <f t="shared" si="96"/>
        <v>16123632</v>
      </c>
      <c r="AB266" s="12">
        <v>0.02</v>
      </c>
      <c r="AC266" s="12">
        <f t="shared" si="97"/>
        <v>3224.7264</v>
      </c>
      <c r="AD266" s="42"/>
      <c r="AE266" s="12" t="e">
        <f>+AC266*#REF!/#REF!</f>
        <v>#REF!</v>
      </c>
    </row>
    <row r="267" spans="1:31" s="7" customFormat="1" ht="23.25">
      <c r="A267" s="42" t="s">
        <v>0</v>
      </c>
      <c r="B267" s="42"/>
      <c r="C267" s="45"/>
      <c r="D267" s="45"/>
      <c r="E267" s="45"/>
      <c r="F267" s="47"/>
      <c r="G267" s="42"/>
      <c r="H267" s="42"/>
      <c r="I267" s="44"/>
      <c r="J267" s="44">
        <f t="shared" si="93"/>
        <v>0</v>
      </c>
      <c r="K267" s="42"/>
      <c r="L267" s="12">
        <f t="shared" si="92"/>
        <v>0</v>
      </c>
      <c r="M267" s="42">
        <v>5</v>
      </c>
      <c r="N267" s="42" t="s">
        <v>694</v>
      </c>
      <c r="O267" s="101" t="s">
        <v>446</v>
      </c>
      <c r="P267" s="45">
        <v>2</v>
      </c>
      <c r="Q267" s="100">
        <f>32*6</f>
        <v>192</v>
      </c>
      <c r="R267" s="103">
        <v>14.26</v>
      </c>
      <c r="S267" s="42">
        <v>7550</v>
      </c>
      <c r="T267" s="12">
        <f t="shared" si="94"/>
        <v>1449600</v>
      </c>
      <c r="U267" s="102" t="s">
        <v>74</v>
      </c>
      <c r="V267" s="42">
        <f>+T267*0.36</f>
        <v>521856</v>
      </c>
      <c r="W267" s="12">
        <f t="shared" si="95"/>
        <v>927744</v>
      </c>
      <c r="X267" s="116"/>
      <c r="Y267" s="43">
        <f>+L263*(R267/100)+W267</f>
        <v>4221804</v>
      </c>
      <c r="Z267" s="12"/>
      <c r="AA267" s="12">
        <f t="shared" si="96"/>
        <v>4221804</v>
      </c>
      <c r="AB267" s="12">
        <v>0.02</v>
      </c>
      <c r="AC267" s="12">
        <f t="shared" si="97"/>
        <v>844.3608</v>
      </c>
      <c r="AD267" s="42"/>
      <c r="AE267" s="12" t="e">
        <f>+AC267*#REF!/#REF!</f>
        <v>#REF!</v>
      </c>
    </row>
    <row r="268" spans="1:31" s="7" customFormat="1" ht="23.25">
      <c r="A268" s="42" t="s">
        <v>0</v>
      </c>
      <c r="B268" s="42"/>
      <c r="C268" s="45"/>
      <c r="D268" s="45"/>
      <c r="E268" s="45"/>
      <c r="F268" s="47" t="s">
        <v>177</v>
      </c>
      <c r="G268" s="42">
        <v>20</v>
      </c>
      <c r="H268" s="42"/>
      <c r="I268" s="44"/>
      <c r="J268" s="44">
        <f t="shared" si="93"/>
        <v>8000</v>
      </c>
      <c r="K268" s="42">
        <v>21000</v>
      </c>
      <c r="L268" s="12">
        <f t="shared" si="92"/>
        <v>168000000</v>
      </c>
      <c r="M268" s="42"/>
      <c r="N268" s="42"/>
      <c r="O268" s="42"/>
      <c r="P268" s="45"/>
      <c r="Q268" s="42"/>
      <c r="R268" s="42"/>
      <c r="S268" s="42"/>
      <c r="T268" s="12">
        <f t="shared" si="94"/>
        <v>0</v>
      </c>
      <c r="U268" s="45"/>
      <c r="V268" s="12">
        <f>+T268*0</f>
        <v>0</v>
      </c>
      <c r="W268" s="12">
        <f t="shared" si="95"/>
        <v>0</v>
      </c>
      <c r="X268" s="116"/>
      <c r="Y268" s="117">
        <f>+L268+W268</f>
        <v>168000000</v>
      </c>
      <c r="Z268" s="12">
        <f>+Y268</f>
        <v>168000000</v>
      </c>
      <c r="AA268" s="12">
        <f t="shared" si="96"/>
        <v>0</v>
      </c>
      <c r="AB268" s="12"/>
      <c r="AC268" s="12">
        <f t="shared" si="97"/>
        <v>0</v>
      </c>
      <c r="AD268" s="42"/>
      <c r="AE268" s="12" t="e">
        <f>+AC268*#REF!/#REF!</f>
        <v>#REF!</v>
      </c>
    </row>
    <row r="269" spans="1:31" s="7" customFormat="1" ht="23.25">
      <c r="A269" s="42" t="s">
        <v>0</v>
      </c>
      <c r="B269" s="42" t="s">
        <v>1</v>
      </c>
      <c r="C269" s="45" t="s">
        <v>1205</v>
      </c>
      <c r="D269" s="51" t="s">
        <v>809</v>
      </c>
      <c r="E269" s="10" t="s">
        <v>909</v>
      </c>
      <c r="F269" s="47" t="s">
        <v>137</v>
      </c>
      <c r="G269" s="42">
        <v>7</v>
      </c>
      <c r="H269" s="42"/>
      <c r="I269" s="44">
        <v>25</v>
      </c>
      <c r="J269" s="44">
        <f t="shared" si="93"/>
        <v>2825</v>
      </c>
      <c r="K269" s="42">
        <v>1500</v>
      </c>
      <c r="L269" s="12">
        <f t="shared" si="92"/>
        <v>4237500</v>
      </c>
      <c r="M269" s="42">
        <v>1</v>
      </c>
      <c r="N269" s="42" t="s">
        <v>1854</v>
      </c>
      <c r="O269" s="101" t="s">
        <v>446</v>
      </c>
      <c r="P269" s="45">
        <v>2</v>
      </c>
      <c r="Q269" s="100">
        <f>144+10.5+144+105</f>
        <v>403.5</v>
      </c>
      <c r="R269" s="103">
        <v>79.35</v>
      </c>
      <c r="S269" s="42">
        <v>6550</v>
      </c>
      <c r="T269" s="12">
        <f t="shared" si="94"/>
        <v>2642925</v>
      </c>
      <c r="U269" s="102" t="s">
        <v>84</v>
      </c>
      <c r="V269" s="12">
        <f>+T269*0.2</f>
        <v>528585</v>
      </c>
      <c r="W269" s="12">
        <f t="shared" si="95"/>
        <v>2114340</v>
      </c>
      <c r="X269" s="116"/>
      <c r="Y269" s="43">
        <f>+L269*(R269/100)+W269</f>
        <v>5476796.25</v>
      </c>
      <c r="Z269" s="12"/>
      <c r="AA269" s="12">
        <f t="shared" si="96"/>
        <v>5476796.25</v>
      </c>
      <c r="AB269" s="12">
        <v>0.02</v>
      </c>
      <c r="AC269" s="12">
        <f t="shared" si="97"/>
        <v>1095.35925</v>
      </c>
      <c r="AD269" s="42"/>
      <c r="AE269" s="12" t="e">
        <f>+AC269*#REF!/#REF!</f>
        <v>#REF!</v>
      </c>
    </row>
    <row r="270" spans="1:31" s="7" customFormat="1" ht="23.25">
      <c r="A270" s="42" t="s">
        <v>0</v>
      </c>
      <c r="B270" s="42"/>
      <c r="C270" s="45"/>
      <c r="D270" s="45"/>
      <c r="E270" s="45"/>
      <c r="F270" s="47"/>
      <c r="G270" s="42"/>
      <c r="H270" s="42"/>
      <c r="I270" s="44"/>
      <c r="J270" s="44">
        <f t="shared" si="93"/>
        <v>0</v>
      </c>
      <c r="K270" s="42"/>
      <c r="L270" s="12">
        <f t="shared" si="92"/>
        <v>0</v>
      </c>
      <c r="M270" s="42">
        <v>2</v>
      </c>
      <c r="N270" s="42" t="s">
        <v>1855</v>
      </c>
      <c r="O270" s="101" t="s">
        <v>454</v>
      </c>
      <c r="P270" s="45">
        <v>2</v>
      </c>
      <c r="Q270" s="100">
        <f>21*5</f>
        <v>105</v>
      </c>
      <c r="R270" s="103">
        <v>20.65</v>
      </c>
      <c r="S270" s="42">
        <v>6550</v>
      </c>
      <c r="T270" s="12">
        <f t="shared" si="94"/>
        <v>687750</v>
      </c>
      <c r="U270" s="102" t="s">
        <v>1783</v>
      </c>
      <c r="V270" s="12">
        <f>+T270*0.65</f>
        <v>447037.5</v>
      </c>
      <c r="W270" s="12">
        <f t="shared" si="95"/>
        <v>240712.5</v>
      </c>
      <c r="X270" s="116"/>
      <c r="Y270" s="43">
        <f>+L269*(R270/100)+W270</f>
        <v>1115756.25</v>
      </c>
      <c r="Z270" s="12"/>
      <c r="AA270" s="12">
        <f t="shared" si="96"/>
        <v>1115756.25</v>
      </c>
      <c r="AB270" s="12">
        <v>0.02</v>
      </c>
      <c r="AC270" s="12">
        <f t="shared" si="97"/>
        <v>223.15125</v>
      </c>
      <c r="AD270" s="42"/>
      <c r="AE270" s="12" t="e">
        <f>+AC270*#REF!/#REF!</f>
        <v>#REF!</v>
      </c>
    </row>
    <row r="271" spans="1:31" s="7" customFormat="1" ht="23.25">
      <c r="A271" s="42" t="s">
        <v>0</v>
      </c>
      <c r="B271" s="42"/>
      <c r="C271" s="45"/>
      <c r="D271" s="45"/>
      <c r="E271" s="45"/>
      <c r="F271" s="47" t="s">
        <v>177</v>
      </c>
      <c r="G271" s="42">
        <v>30</v>
      </c>
      <c r="H271" s="42"/>
      <c r="I271" s="44"/>
      <c r="J271" s="44">
        <f t="shared" si="93"/>
        <v>12000</v>
      </c>
      <c r="K271" s="42">
        <v>1500</v>
      </c>
      <c r="L271" s="12">
        <f t="shared" si="92"/>
        <v>18000000</v>
      </c>
      <c r="M271" s="42"/>
      <c r="N271" s="42"/>
      <c r="O271" s="42"/>
      <c r="P271" s="45"/>
      <c r="Q271" s="42"/>
      <c r="R271" s="42"/>
      <c r="S271" s="42"/>
      <c r="T271" s="12">
        <f t="shared" si="94"/>
        <v>0</v>
      </c>
      <c r="U271" s="45"/>
      <c r="V271" s="12">
        <f>+T271*0</f>
        <v>0</v>
      </c>
      <c r="W271" s="12">
        <f t="shared" si="95"/>
        <v>0</v>
      </c>
      <c r="X271" s="116"/>
      <c r="Y271" s="117">
        <f>+L271+W271</f>
        <v>18000000</v>
      </c>
      <c r="Z271" s="12">
        <f>+Y271</f>
        <v>18000000</v>
      </c>
      <c r="AA271" s="12">
        <f t="shared" si="96"/>
        <v>0</v>
      </c>
      <c r="AB271" s="12"/>
      <c r="AC271" s="12">
        <f t="shared" si="97"/>
        <v>0</v>
      </c>
      <c r="AD271" s="42"/>
      <c r="AE271" s="12" t="e">
        <f>+AC271*#REF!/#REF!</f>
        <v>#REF!</v>
      </c>
    </row>
    <row r="272" spans="1:31" s="7" customFormat="1" ht="23.25">
      <c r="A272" s="42" t="s">
        <v>0</v>
      </c>
      <c r="B272" s="42" t="s">
        <v>1</v>
      </c>
      <c r="C272" s="45" t="s">
        <v>1206</v>
      </c>
      <c r="D272" s="51" t="s">
        <v>810</v>
      </c>
      <c r="E272" s="10" t="s">
        <v>909</v>
      </c>
      <c r="F272" s="47" t="s">
        <v>177</v>
      </c>
      <c r="G272" s="42">
        <v>5</v>
      </c>
      <c r="H272" s="42">
        <v>3</v>
      </c>
      <c r="I272" s="44">
        <v>56</v>
      </c>
      <c r="J272" s="44">
        <f t="shared" si="93"/>
        <v>2356</v>
      </c>
      <c r="K272" s="42">
        <v>1500</v>
      </c>
      <c r="L272" s="12">
        <f t="shared" si="92"/>
        <v>3534000</v>
      </c>
      <c r="M272" s="42"/>
      <c r="N272" s="42"/>
      <c r="O272" s="42"/>
      <c r="P272" s="45"/>
      <c r="Q272" s="42"/>
      <c r="R272" s="42"/>
      <c r="S272" s="42"/>
      <c r="T272" s="12">
        <f t="shared" si="94"/>
        <v>0</v>
      </c>
      <c r="U272" s="45"/>
      <c r="V272" s="12">
        <f>+T272*0</f>
        <v>0</v>
      </c>
      <c r="W272" s="12">
        <f t="shared" si="95"/>
        <v>0</v>
      </c>
      <c r="X272" s="116"/>
      <c r="Y272" s="117">
        <f>+L272+W272</f>
        <v>3534000</v>
      </c>
      <c r="Z272" s="12">
        <f>+Y272</f>
        <v>3534000</v>
      </c>
      <c r="AA272" s="12">
        <f t="shared" si="96"/>
        <v>0</v>
      </c>
      <c r="AB272" s="12"/>
      <c r="AC272" s="12">
        <f t="shared" si="97"/>
        <v>0</v>
      </c>
      <c r="AD272" s="42"/>
      <c r="AE272" s="12" t="e">
        <f>+AC272*#REF!/#REF!</f>
        <v>#REF!</v>
      </c>
    </row>
    <row r="273" spans="1:31" s="7" customFormat="1" ht="23.25">
      <c r="A273" s="42" t="s">
        <v>0</v>
      </c>
      <c r="B273" s="42"/>
      <c r="C273" s="45"/>
      <c r="D273" s="45"/>
      <c r="E273" s="45"/>
      <c r="F273" s="47" t="s">
        <v>143</v>
      </c>
      <c r="G273" s="42">
        <v>1</v>
      </c>
      <c r="H273" s="42"/>
      <c r="I273" s="44"/>
      <c r="J273" s="44">
        <f t="shared" si="93"/>
        <v>400</v>
      </c>
      <c r="K273" s="42">
        <v>1500</v>
      </c>
      <c r="L273" s="12">
        <f t="shared" si="92"/>
        <v>600000</v>
      </c>
      <c r="M273" s="42"/>
      <c r="N273" s="42" t="s">
        <v>1006</v>
      </c>
      <c r="O273" s="42"/>
      <c r="P273" s="45"/>
      <c r="Q273" s="42"/>
      <c r="R273" s="42"/>
      <c r="S273" s="42"/>
      <c r="T273" s="12">
        <f t="shared" si="94"/>
        <v>0</v>
      </c>
      <c r="U273" s="45"/>
      <c r="V273" s="12">
        <f>+T273*0</f>
        <v>0</v>
      </c>
      <c r="W273" s="12">
        <f t="shared" si="95"/>
        <v>0</v>
      </c>
      <c r="X273" s="116"/>
      <c r="Y273" s="117">
        <f>+L273+W273</f>
        <v>600000</v>
      </c>
      <c r="Z273" s="12"/>
      <c r="AA273" s="12">
        <f t="shared" si="96"/>
        <v>600000</v>
      </c>
      <c r="AB273" s="12">
        <v>0.3</v>
      </c>
      <c r="AC273" s="12">
        <f t="shared" si="97"/>
        <v>1800</v>
      </c>
      <c r="AD273" s="42"/>
      <c r="AE273" s="12" t="e">
        <f>+AC273*#REF!/#REF!</f>
        <v>#REF!</v>
      </c>
    </row>
    <row r="274" spans="1:31" s="7" customFormat="1" ht="23.25">
      <c r="A274" s="42"/>
      <c r="B274" s="42"/>
      <c r="C274" s="45"/>
      <c r="D274" s="45"/>
      <c r="E274" s="45"/>
      <c r="F274" s="47"/>
      <c r="G274" s="42"/>
      <c r="H274" s="42"/>
      <c r="I274" s="44"/>
      <c r="J274" s="44">
        <f t="shared" si="93"/>
        <v>0</v>
      </c>
      <c r="K274" s="42"/>
      <c r="L274" s="42">
        <f t="shared" si="92"/>
        <v>0</v>
      </c>
      <c r="M274" s="42"/>
      <c r="N274" s="42"/>
      <c r="O274" s="42"/>
      <c r="P274" s="45"/>
      <c r="Q274" s="42"/>
      <c r="R274" s="42"/>
      <c r="S274" s="42"/>
      <c r="T274" s="12">
        <f t="shared" si="94"/>
        <v>0</v>
      </c>
      <c r="U274" s="45"/>
      <c r="V274" s="12">
        <f>+T274*0</f>
        <v>0</v>
      </c>
      <c r="W274" s="12">
        <f t="shared" si="95"/>
        <v>0</v>
      </c>
      <c r="X274" s="116"/>
      <c r="Y274" s="117">
        <f>+L274+W274</f>
        <v>0</v>
      </c>
      <c r="Z274" s="12"/>
      <c r="AA274" s="12">
        <f t="shared" si="96"/>
        <v>0</v>
      </c>
      <c r="AB274" s="12"/>
      <c r="AC274" s="12">
        <f t="shared" si="97"/>
        <v>0</v>
      </c>
      <c r="AD274" s="42"/>
      <c r="AE274" s="12" t="e">
        <f>+AC274*#REF!/#REF!</f>
        <v>#REF!</v>
      </c>
    </row>
  </sheetData>
  <sheetProtection/>
  <mergeCells count="7">
    <mergeCell ref="AA1:AB1"/>
    <mergeCell ref="U3:V3"/>
    <mergeCell ref="G4:I4"/>
    <mergeCell ref="G2:L2"/>
    <mergeCell ref="M2:W2"/>
    <mergeCell ref="G3:I3"/>
    <mergeCell ref="A1:Z1"/>
  </mergeCells>
  <printOptions/>
  <pageMargins left="0.31496062992125984" right="0.31496062992125984" top="0.7480314960629921" bottom="0.5905511811023623" header="0.31496062992125984" footer="0.31496062992125984"/>
  <pageSetup orientation="landscape" paperSize="5" scale="75" r:id="rId1"/>
  <headerFooter>
    <oddFooter>&amp;Cข..หน้าที่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E481"/>
  <sheetViews>
    <sheetView view="pageBreakPreview" zoomScale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E21" sqref="E21"/>
    </sheetView>
  </sheetViews>
  <sheetFormatPr defaultColWidth="9.140625" defaultRowHeight="15"/>
  <cols>
    <col min="1" max="1" width="3.57421875" style="52" customWidth="1"/>
    <col min="2" max="2" width="6.140625" style="114" customWidth="1"/>
    <col min="3" max="3" width="6.421875" style="55" customWidth="1"/>
    <col min="4" max="4" width="7.00390625" style="115" customWidth="1"/>
    <col min="5" max="5" width="8.421875" style="115" customWidth="1"/>
    <col min="6" max="6" width="7.140625" style="55" customWidth="1"/>
    <col min="7" max="8" width="3.57421875" style="52" customWidth="1"/>
    <col min="9" max="10" width="4.8515625" style="52" customWidth="1"/>
    <col min="11" max="11" width="7.140625" style="56" customWidth="1"/>
    <col min="12" max="12" width="7.8515625" style="56" customWidth="1"/>
    <col min="13" max="13" width="3.421875" style="52" customWidth="1"/>
    <col min="14" max="14" width="9.28125" style="52" customWidth="1"/>
    <col min="15" max="15" width="8.00390625" style="52" customWidth="1"/>
    <col min="16" max="16" width="8.00390625" style="53" customWidth="1"/>
    <col min="17" max="17" width="8.28125" style="52" customWidth="1"/>
    <col min="18" max="18" width="8.57421875" style="131" customWidth="1"/>
    <col min="19" max="19" width="8.00390625" style="52" customWidth="1"/>
    <col min="20" max="20" width="9.00390625" style="3" customWidth="1"/>
    <col min="21" max="21" width="6.28125" style="58" customWidth="1"/>
    <col min="22" max="22" width="8.7109375" style="3" customWidth="1"/>
    <col min="23" max="23" width="10.28125" style="3" customWidth="1"/>
    <col min="24" max="25" width="9.421875" style="118" customWidth="1"/>
    <col min="26" max="26" width="8.140625" style="3" customWidth="1"/>
    <col min="27" max="27" width="9.00390625" style="3" customWidth="1"/>
    <col min="28" max="28" width="5.140625" style="3" customWidth="1"/>
    <col min="29" max="29" width="6.140625" style="3" hidden="1" customWidth="1"/>
    <col min="30" max="30" width="6.57421875" style="11" hidden="1" customWidth="1"/>
    <col min="31" max="31" width="8.28125" style="3" hidden="1" customWidth="1"/>
    <col min="32" max="16384" width="9.00390625" style="59" customWidth="1"/>
  </cols>
  <sheetData>
    <row r="1" spans="1:230" s="28" customFormat="1" ht="21">
      <c r="A1" s="156" t="s">
        <v>1857</v>
      </c>
      <c r="B1" s="156"/>
      <c r="C1" s="156"/>
      <c r="D1" s="157"/>
      <c r="E1" s="156"/>
      <c r="F1" s="156"/>
      <c r="G1" s="156"/>
      <c r="H1" s="156"/>
      <c r="I1" s="156"/>
      <c r="J1" s="156"/>
      <c r="K1" s="156"/>
      <c r="L1" s="158"/>
      <c r="M1" s="156"/>
      <c r="N1" s="156"/>
      <c r="O1" s="156"/>
      <c r="P1" s="156"/>
      <c r="Q1" s="156"/>
      <c r="R1" s="160"/>
      <c r="S1" s="156"/>
      <c r="T1" s="158"/>
      <c r="U1" s="156"/>
      <c r="V1" s="158"/>
      <c r="W1" s="158"/>
      <c r="X1" s="156"/>
      <c r="Y1" s="158"/>
      <c r="Z1" s="158"/>
      <c r="AA1" s="141" t="s">
        <v>1858</v>
      </c>
      <c r="AB1" s="142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</row>
    <row r="2" spans="1:230" s="32" customFormat="1" ht="21">
      <c r="A2" s="64" t="s">
        <v>0</v>
      </c>
      <c r="B2" s="64"/>
      <c r="C2" s="65"/>
      <c r="D2" s="66"/>
      <c r="E2" s="64"/>
      <c r="F2" s="64"/>
      <c r="G2" s="148" t="s">
        <v>56</v>
      </c>
      <c r="H2" s="148"/>
      <c r="I2" s="148"/>
      <c r="J2" s="149"/>
      <c r="K2" s="149"/>
      <c r="L2" s="150"/>
      <c r="M2" s="151" t="s">
        <v>57</v>
      </c>
      <c r="N2" s="149"/>
      <c r="O2" s="149"/>
      <c r="P2" s="149"/>
      <c r="Q2" s="149"/>
      <c r="R2" s="161"/>
      <c r="S2" s="149"/>
      <c r="T2" s="153"/>
      <c r="U2" s="149"/>
      <c r="V2" s="153"/>
      <c r="W2" s="150"/>
      <c r="X2" s="64" t="s">
        <v>34</v>
      </c>
      <c r="Y2" s="67" t="s">
        <v>31</v>
      </c>
      <c r="Z2" s="68" t="s">
        <v>44</v>
      </c>
      <c r="AA2" s="68" t="s">
        <v>43</v>
      </c>
      <c r="AB2" s="64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</row>
    <row r="3" spans="1:230" s="32" customFormat="1" ht="21.75" customHeight="1">
      <c r="A3" s="37" t="s">
        <v>38</v>
      </c>
      <c r="B3" s="37" t="s">
        <v>42</v>
      </c>
      <c r="C3" s="69" t="s">
        <v>902</v>
      </c>
      <c r="D3" s="37" t="s">
        <v>29</v>
      </c>
      <c r="E3" s="70" t="s">
        <v>903</v>
      </c>
      <c r="F3" s="71" t="s">
        <v>41</v>
      </c>
      <c r="G3" s="154" t="s">
        <v>40</v>
      </c>
      <c r="H3" s="148"/>
      <c r="I3" s="155"/>
      <c r="J3" s="72" t="s">
        <v>39</v>
      </c>
      <c r="K3" s="73" t="s">
        <v>35</v>
      </c>
      <c r="L3" s="73" t="s">
        <v>34</v>
      </c>
      <c r="M3" s="38" t="s">
        <v>38</v>
      </c>
      <c r="N3" s="33" t="s">
        <v>37</v>
      </c>
      <c r="O3" s="34" t="s">
        <v>41</v>
      </c>
      <c r="P3" s="35" t="s">
        <v>41</v>
      </c>
      <c r="Q3" s="62" t="s">
        <v>36</v>
      </c>
      <c r="R3" s="129" t="s">
        <v>22</v>
      </c>
      <c r="S3" s="37" t="s">
        <v>35</v>
      </c>
      <c r="T3" s="36" t="s">
        <v>34</v>
      </c>
      <c r="U3" s="143" t="s">
        <v>11</v>
      </c>
      <c r="V3" s="144"/>
      <c r="W3" s="36" t="s">
        <v>31</v>
      </c>
      <c r="X3" s="38" t="s">
        <v>33</v>
      </c>
      <c r="Y3" s="75" t="s">
        <v>1859</v>
      </c>
      <c r="Z3" s="39" t="s">
        <v>32</v>
      </c>
      <c r="AA3" s="39" t="s">
        <v>31</v>
      </c>
      <c r="AB3" s="38" t="s">
        <v>30</v>
      </c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</row>
    <row r="4" spans="1:230" s="32" customFormat="1" ht="36" customHeight="1">
      <c r="A4" s="37" t="s">
        <v>0</v>
      </c>
      <c r="B4" s="37" t="s">
        <v>58</v>
      </c>
      <c r="C4" s="69" t="s">
        <v>904</v>
      </c>
      <c r="D4" s="76"/>
      <c r="E4" s="70" t="s">
        <v>1860</v>
      </c>
      <c r="F4" s="71" t="s">
        <v>905</v>
      </c>
      <c r="G4" s="145" t="s">
        <v>28</v>
      </c>
      <c r="H4" s="146"/>
      <c r="I4" s="147"/>
      <c r="J4" s="77" t="s">
        <v>27</v>
      </c>
      <c r="K4" s="78" t="s">
        <v>25</v>
      </c>
      <c r="L4" s="78" t="s">
        <v>24</v>
      </c>
      <c r="M4" s="38"/>
      <c r="N4" s="37" t="s">
        <v>9</v>
      </c>
      <c r="O4" s="34" t="s">
        <v>9</v>
      </c>
      <c r="P4" s="35" t="s">
        <v>905</v>
      </c>
      <c r="Q4" s="62" t="s">
        <v>26</v>
      </c>
      <c r="R4" s="129" t="s">
        <v>1861</v>
      </c>
      <c r="S4" s="37" t="s">
        <v>1862</v>
      </c>
      <c r="T4" s="37" t="s">
        <v>9</v>
      </c>
      <c r="U4" s="37" t="s">
        <v>23</v>
      </c>
      <c r="V4" s="36" t="s">
        <v>22</v>
      </c>
      <c r="W4" s="36" t="s">
        <v>9</v>
      </c>
      <c r="X4" s="38" t="s">
        <v>21</v>
      </c>
      <c r="Y4" s="75" t="s">
        <v>9</v>
      </c>
      <c r="Z4" s="39" t="s">
        <v>20</v>
      </c>
      <c r="AA4" s="39" t="s">
        <v>19</v>
      </c>
      <c r="AB4" s="38" t="s">
        <v>18</v>
      </c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</row>
    <row r="5" spans="1:230" s="32" customFormat="1" ht="18.75" customHeight="1">
      <c r="A5" s="37" t="s">
        <v>0</v>
      </c>
      <c r="B5" s="37"/>
      <c r="C5" s="69"/>
      <c r="D5" s="76"/>
      <c r="E5" s="71" t="s">
        <v>1863</v>
      </c>
      <c r="F5" s="79" t="s">
        <v>17</v>
      </c>
      <c r="G5" s="64"/>
      <c r="H5" s="64"/>
      <c r="I5" s="64"/>
      <c r="J5" s="77" t="s">
        <v>16</v>
      </c>
      <c r="K5" s="78" t="s">
        <v>15</v>
      </c>
      <c r="L5" s="78" t="s">
        <v>58</v>
      </c>
      <c r="M5" s="38"/>
      <c r="N5" s="38"/>
      <c r="O5" s="37"/>
      <c r="P5" s="35" t="s">
        <v>17</v>
      </c>
      <c r="Q5" s="39" t="s">
        <v>14</v>
      </c>
      <c r="R5" s="129" t="s">
        <v>1864</v>
      </c>
      <c r="S5" s="38" t="s">
        <v>1865</v>
      </c>
      <c r="T5" s="36"/>
      <c r="U5" s="34" t="s">
        <v>12</v>
      </c>
      <c r="V5" s="36" t="s">
        <v>11</v>
      </c>
      <c r="W5" s="62" t="s">
        <v>10</v>
      </c>
      <c r="X5" s="38" t="s">
        <v>9</v>
      </c>
      <c r="Y5" s="75" t="s">
        <v>1866</v>
      </c>
      <c r="Z5" s="39" t="s">
        <v>8</v>
      </c>
      <c r="AA5" s="39" t="s">
        <v>1867</v>
      </c>
      <c r="AB5" s="38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</row>
    <row r="6" spans="1:230" s="32" customFormat="1" ht="21">
      <c r="A6" s="38" t="s">
        <v>0</v>
      </c>
      <c r="B6" s="38"/>
      <c r="C6" s="80"/>
      <c r="D6" s="81"/>
      <c r="E6" s="82"/>
      <c r="F6" s="82"/>
      <c r="G6" s="38" t="s">
        <v>7</v>
      </c>
      <c r="H6" s="38" t="s">
        <v>6</v>
      </c>
      <c r="I6" s="38" t="s">
        <v>59</v>
      </c>
      <c r="J6" s="77"/>
      <c r="K6" s="83" t="s">
        <v>3</v>
      </c>
      <c r="L6" s="83" t="s">
        <v>3</v>
      </c>
      <c r="M6" s="38"/>
      <c r="N6" s="84"/>
      <c r="O6" s="38"/>
      <c r="P6" s="40"/>
      <c r="Q6" s="39"/>
      <c r="R6" s="129" t="s">
        <v>17</v>
      </c>
      <c r="S6" s="38" t="s">
        <v>3</v>
      </c>
      <c r="T6" s="39" t="s">
        <v>3</v>
      </c>
      <c r="U6" s="38" t="s">
        <v>5</v>
      </c>
      <c r="V6" s="39" t="s">
        <v>3</v>
      </c>
      <c r="W6" s="39" t="s">
        <v>3</v>
      </c>
      <c r="X6" s="38" t="s">
        <v>3</v>
      </c>
      <c r="Y6" s="85" t="s">
        <v>1868</v>
      </c>
      <c r="Z6" s="39" t="s">
        <v>3</v>
      </c>
      <c r="AA6" s="39" t="s">
        <v>1869</v>
      </c>
      <c r="AB6" s="86" t="s">
        <v>4</v>
      </c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</row>
    <row r="7" spans="1:239" s="41" customFormat="1" ht="21">
      <c r="A7" s="38" t="s">
        <v>0</v>
      </c>
      <c r="B7" s="87"/>
      <c r="C7" s="88"/>
      <c r="D7" s="89"/>
      <c r="E7" s="90"/>
      <c r="F7" s="91"/>
      <c r="G7" s="87"/>
      <c r="H7" s="87"/>
      <c r="I7" s="87"/>
      <c r="J7" s="92"/>
      <c r="K7" s="93"/>
      <c r="L7" s="93"/>
      <c r="M7" s="87"/>
      <c r="N7" s="87"/>
      <c r="O7" s="87"/>
      <c r="P7" s="95"/>
      <c r="Q7" s="87"/>
      <c r="R7" s="130" t="s">
        <v>4</v>
      </c>
      <c r="S7" s="97"/>
      <c r="T7" s="98"/>
      <c r="U7" s="87"/>
      <c r="V7" s="98"/>
      <c r="W7" s="98"/>
      <c r="X7" s="87"/>
      <c r="Y7" s="99" t="s">
        <v>3</v>
      </c>
      <c r="Z7" s="98"/>
      <c r="AA7" s="99" t="s">
        <v>3</v>
      </c>
      <c r="AB7" s="87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IC7" s="32"/>
      <c r="ID7" s="32"/>
      <c r="IE7" s="32"/>
    </row>
    <row r="8" spans="1:31" s="46" customFormat="1" ht="21">
      <c r="A8" s="42" t="s">
        <v>0</v>
      </c>
      <c r="B8" s="42" t="s">
        <v>1</v>
      </c>
      <c r="C8" s="45" t="s">
        <v>1766</v>
      </c>
      <c r="D8" s="45" t="s">
        <v>1767</v>
      </c>
      <c r="E8" s="10" t="s">
        <v>909</v>
      </c>
      <c r="F8" s="47">
        <v>4</v>
      </c>
      <c r="G8" s="42">
        <v>1</v>
      </c>
      <c r="H8" s="42"/>
      <c r="I8" s="44">
        <v>44.4</v>
      </c>
      <c r="J8" s="44">
        <f aca="true" t="shared" si="0" ref="J8:J16">+I8+(H8*100)+(G8*400)</f>
        <v>444.4</v>
      </c>
      <c r="K8" s="42">
        <v>16000</v>
      </c>
      <c r="L8" s="42">
        <f aca="true" t="shared" si="1" ref="L8:L65">+K8*J8</f>
        <v>7110400</v>
      </c>
      <c r="M8" s="42"/>
      <c r="N8" s="42"/>
      <c r="O8" s="100"/>
      <c r="P8" s="45"/>
      <c r="Q8" s="100"/>
      <c r="R8" s="100"/>
      <c r="S8" s="42"/>
      <c r="T8" s="12">
        <f aca="true" t="shared" si="2" ref="T8:T16">+Q8*S8</f>
        <v>0</v>
      </c>
      <c r="U8" s="45"/>
      <c r="V8" s="12">
        <f>+T8*0</f>
        <v>0</v>
      </c>
      <c r="W8" s="12">
        <f aca="true" t="shared" si="3" ref="W8:W16">+T8-V8</f>
        <v>0</v>
      </c>
      <c r="X8" s="116"/>
      <c r="Y8" s="117">
        <f aca="true" t="shared" si="4" ref="Y8:Y34">+L8+W8</f>
        <v>7110400</v>
      </c>
      <c r="Z8" s="12"/>
      <c r="AA8" s="12">
        <f aca="true" t="shared" si="5" ref="AA8:AA65">+Y8-Z8</f>
        <v>7110400</v>
      </c>
      <c r="AB8" s="12">
        <v>0.3</v>
      </c>
      <c r="AC8" s="12">
        <f aca="true" t="shared" si="6" ref="AC8:AC65">+AA8*AB8/100</f>
        <v>21331.2</v>
      </c>
      <c r="AD8" s="42"/>
      <c r="AE8" s="12"/>
    </row>
    <row r="9" spans="1:31" s="46" customFormat="1" ht="21">
      <c r="A9" s="42" t="s">
        <v>0</v>
      </c>
      <c r="B9" s="42" t="s">
        <v>1</v>
      </c>
      <c r="C9" s="45">
        <v>87</v>
      </c>
      <c r="D9" s="45" t="s">
        <v>540</v>
      </c>
      <c r="E9" s="10" t="s">
        <v>909</v>
      </c>
      <c r="F9" s="47">
        <v>4</v>
      </c>
      <c r="G9" s="42"/>
      <c r="H9" s="42"/>
      <c r="I9" s="44">
        <v>65.1</v>
      </c>
      <c r="J9" s="44">
        <f t="shared" si="0"/>
        <v>65.1</v>
      </c>
      <c r="K9" s="42">
        <v>16000</v>
      </c>
      <c r="L9" s="42">
        <f>+K9*J9</f>
        <v>1041599.9999999999</v>
      </c>
      <c r="M9" s="42"/>
      <c r="N9" s="42"/>
      <c r="O9" s="100"/>
      <c r="P9" s="45"/>
      <c r="Q9" s="100"/>
      <c r="R9" s="100"/>
      <c r="S9" s="42"/>
      <c r="T9" s="12">
        <f t="shared" si="2"/>
        <v>0</v>
      </c>
      <c r="U9" s="45"/>
      <c r="V9" s="12">
        <f>+T9*0</f>
        <v>0</v>
      </c>
      <c r="W9" s="12">
        <f t="shared" si="3"/>
        <v>0</v>
      </c>
      <c r="X9" s="116"/>
      <c r="Y9" s="117">
        <f>+L9+W9</f>
        <v>1041599.9999999999</v>
      </c>
      <c r="Z9" s="12"/>
      <c r="AA9" s="12">
        <f>+Y9-Z9</f>
        <v>1041599.9999999999</v>
      </c>
      <c r="AB9" s="12">
        <v>0.3</v>
      </c>
      <c r="AC9" s="12">
        <f>+AA9*AB9/100</f>
        <v>3124.7999999999993</v>
      </c>
      <c r="AD9" s="42"/>
      <c r="AE9" s="12"/>
    </row>
    <row r="10" spans="1:31" s="46" customFormat="1" ht="21">
      <c r="A10" s="42"/>
      <c r="B10" s="42"/>
      <c r="C10" s="45"/>
      <c r="D10" s="45"/>
      <c r="E10" s="45"/>
      <c r="F10" s="47"/>
      <c r="G10" s="42"/>
      <c r="H10" s="42"/>
      <c r="I10" s="44"/>
      <c r="J10" s="44">
        <f t="shared" si="0"/>
        <v>0</v>
      </c>
      <c r="K10" s="42"/>
      <c r="L10" s="42">
        <f t="shared" si="1"/>
        <v>0</v>
      </c>
      <c r="M10" s="42"/>
      <c r="N10" s="42"/>
      <c r="O10" s="100"/>
      <c r="P10" s="31"/>
      <c r="Q10" s="100"/>
      <c r="R10" s="100"/>
      <c r="S10" s="42"/>
      <c r="T10" s="12">
        <f t="shared" si="2"/>
        <v>0</v>
      </c>
      <c r="U10" s="45"/>
      <c r="V10" s="12">
        <f>+T10*0</f>
        <v>0</v>
      </c>
      <c r="W10" s="12">
        <f t="shared" si="3"/>
        <v>0</v>
      </c>
      <c r="X10" s="116"/>
      <c r="Y10" s="117">
        <f t="shared" si="4"/>
        <v>0</v>
      </c>
      <c r="Z10" s="12"/>
      <c r="AA10" s="12">
        <f t="shared" si="5"/>
        <v>0</v>
      </c>
      <c r="AB10" s="12"/>
      <c r="AC10" s="12">
        <f t="shared" si="6"/>
        <v>0</v>
      </c>
      <c r="AD10" s="42"/>
      <c r="AE10" s="12"/>
    </row>
    <row r="11" spans="1:31" s="46" customFormat="1" ht="21">
      <c r="A11" s="42"/>
      <c r="B11" s="42"/>
      <c r="C11" s="45"/>
      <c r="D11" s="45"/>
      <c r="E11" s="45"/>
      <c r="F11" s="47"/>
      <c r="G11" s="42"/>
      <c r="H11" s="42"/>
      <c r="I11" s="44"/>
      <c r="J11" s="44">
        <f t="shared" si="0"/>
        <v>0</v>
      </c>
      <c r="K11" s="42"/>
      <c r="L11" s="42">
        <f t="shared" si="1"/>
        <v>0</v>
      </c>
      <c r="M11" s="42"/>
      <c r="N11" s="42"/>
      <c r="O11" s="42"/>
      <c r="P11" s="31"/>
      <c r="Q11" s="42"/>
      <c r="R11" s="42"/>
      <c r="S11" s="42"/>
      <c r="T11" s="12">
        <f t="shared" si="2"/>
        <v>0</v>
      </c>
      <c r="U11" s="45"/>
      <c r="V11" s="12">
        <f>+T11*0</f>
        <v>0</v>
      </c>
      <c r="W11" s="12">
        <f t="shared" si="3"/>
        <v>0</v>
      </c>
      <c r="X11" s="116"/>
      <c r="Y11" s="117">
        <f t="shared" si="4"/>
        <v>0</v>
      </c>
      <c r="Z11" s="12"/>
      <c r="AA11" s="12">
        <f t="shared" si="5"/>
        <v>0</v>
      </c>
      <c r="AB11" s="12"/>
      <c r="AC11" s="12">
        <f t="shared" si="6"/>
        <v>0</v>
      </c>
      <c r="AD11" s="42"/>
      <c r="AE11" s="12"/>
    </row>
    <row r="12" spans="1:31" s="46" customFormat="1" ht="21">
      <c r="A12" s="42" t="s">
        <v>0</v>
      </c>
      <c r="B12" s="42" t="s">
        <v>1</v>
      </c>
      <c r="C12" s="45" t="s">
        <v>920</v>
      </c>
      <c r="D12" s="51" t="s">
        <v>541</v>
      </c>
      <c r="E12" s="30" t="s">
        <v>908</v>
      </c>
      <c r="F12" s="47">
        <v>3</v>
      </c>
      <c r="G12" s="42"/>
      <c r="H12" s="42"/>
      <c r="I12" s="44">
        <v>14.7</v>
      </c>
      <c r="J12" s="44">
        <f t="shared" si="0"/>
        <v>14.7</v>
      </c>
      <c r="K12" s="42">
        <v>20000</v>
      </c>
      <c r="L12" s="42">
        <f t="shared" si="1"/>
        <v>294000</v>
      </c>
      <c r="M12" s="42"/>
      <c r="N12" s="42" t="s">
        <v>60</v>
      </c>
      <c r="O12" s="101" t="s">
        <v>446</v>
      </c>
      <c r="P12" s="45">
        <v>3</v>
      </c>
      <c r="Q12" s="100">
        <v>156</v>
      </c>
      <c r="R12" s="100"/>
      <c r="S12" s="42">
        <v>7550</v>
      </c>
      <c r="T12" s="12">
        <f t="shared" si="2"/>
        <v>1177800</v>
      </c>
      <c r="U12" s="102" t="s">
        <v>84</v>
      </c>
      <c r="V12" s="12">
        <f>+T12*0.2</f>
        <v>235560</v>
      </c>
      <c r="W12" s="12">
        <f t="shared" si="3"/>
        <v>942240</v>
      </c>
      <c r="X12" s="116"/>
      <c r="Y12" s="117">
        <f t="shared" si="4"/>
        <v>1236240</v>
      </c>
      <c r="Z12" s="12"/>
      <c r="AA12" s="12">
        <f t="shared" si="5"/>
        <v>1236240</v>
      </c>
      <c r="AB12" s="12">
        <v>0.3</v>
      </c>
      <c r="AC12" s="12">
        <f t="shared" si="6"/>
        <v>3708.72</v>
      </c>
      <c r="AD12" s="42"/>
      <c r="AE12" s="12"/>
    </row>
    <row r="13" spans="1:31" s="46" customFormat="1" ht="21">
      <c r="A13" s="42" t="s">
        <v>0</v>
      </c>
      <c r="B13" s="42" t="s">
        <v>1</v>
      </c>
      <c r="C13" s="45" t="s">
        <v>921</v>
      </c>
      <c r="D13" s="51" t="s">
        <v>542</v>
      </c>
      <c r="E13" s="29" t="s">
        <v>907</v>
      </c>
      <c r="F13" s="47">
        <v>3</v>
      </c>
      <c r="G13" s="42"/>
      <c r="H13" s="42"/>
      <c r="I13" s="44">
        <v>29.8</v>
      </c>
      <c r="J13" s="44">
        <f t="shared" si="0"/>
        <v>29.8</v>
      </c>
      <c r="K13" s="42">
        <v>15000</v>
      </c>
      <c r="L13" s="42">
        <f t="shared" si="1"/>
        <v>447000</v>
      </c>
      <c r="M13" s="42"/>
      <c r="N13" s="42" t="s">
        <v>184</v>
      </c>
      <c r="O13" s="101" t="s">
        <v>446</v>
      </c>
      <c r="P13" s="45">
        <v>3</v>
      </c>
      <c r="Q13" s="100">
        <f>144*2</f>
        <v>288</v>
      </c>
      <c r="R13" s="100"/>
      <c r="S13" s="42">
        <v>7550</v>
      </c>
      <c r="T13" s="12">
        <f t="shared" si="2"/>
        <v>2174400</v>
      </c>
      <c r="U13" s="102" t="s">
        <v>84</v>
      </c>
      <c r="V13" s="12">
        <f>+T13*0.2</f>
        <v>434880</v>
      </c>
      <c r="W13" s="12">
        <f t="shared" si="3"/>
        <v>1739520</v>
      </c>
      <c r="X13" s="116"/>
      <c r="Y13" s="117">
        <f t="shared" si="4"/>
        <v>2186520</v>
      </c>
      <c r="Z13" s="12"/>
      <c r="AA13" s="12">
        <f t="shared" si="5"/>
        <v>2186520</v>
      </c>
      <c r="AB13" s="12">
        <v>0.3</v>
      </c>
      <c r="AC13" s="12">
        <f t="shared" si="6"/>
        <v>6559.56</v>
      </c>
      <c r="AD13" s="42"/>
      <c r="AE13" s="12"/>
    </row>
    <row r="14" spans="1:31" s="46" customFormat="1" ht="21">
      <c r="A14" s="42" t="s">
        <v>0</v>
      </c>
      <c r="B14" s="42" t="s">
        <v>1</v>
      </c>
      <c r="C14" s="45" t="s">
        <v>922</v>
      </c>
      <c r="D14" s="51" t="s">
        <v>543</v>
      </c>
      <c r="E14" s="29" t="s">
        <v>907</v>
      </c>
      <c r="F14" s="47">
        <v>3</v>
      </c>
      <c r="G14" s="42"/>
      <c r="H14" s="42"/>
      <c r="I14" s="44">
        <v>25.4</v>
      </c>
      <c r="J14" s="44">
        <f t="shared" si="0"/>
        <v>25.4</v>
      </c>
      <c r="K14" s="42">
        <v>15000</v>
      </c>
      <c r="L14" s="42">
        <f t="shared" si="1"/>
        <v>381000</v>
      </c>
      <c r="M14" s="42"/>
      <c r="N14" s="42"/>
      <c r="O14" s="42"/>
      <c r="P14" s="45"/>
      <c r="Q14" s="42"/>
      <c r="R14" s="100"/>
      <c r="S14" s="42"/>
      <c r="T14" s="12">
        <f t="shared" si="2"/>
        <v>0</v>
      </c>
      <c r="U14" s="45"/>
      <c r="V14" s="12">
        <f>+T14*0</f>
        <v>0</v>
      </c>
      <c r="W14" s="12">
        <f t="shared" si="3"/>
        <v>0</v>
      </c>
      <c r="X14" s="116"/>
      <c r="Y14" s="117">
        <f t="shared" si="4"/>
        <v>381000</v>
      </c>
      <c r="Z14" s="12"/>
      <c r="AA14" s="12">
        <f t="shared" si="5"/>
        <v>381000</v>
      </c>
      <c r="AB14" s="12">
        <v>0.3</v>
      </c>
      <c r="AC14" s="12">
        <f t="shared" si="6"/>
        <v>1143</v>
      </c>
      <c r="AD14" s="42"/>
      <c r="AE14" s="12"/>
    </row>
    <row r="15" spans="1:31" s="46" customFormat="1" ht="21">
      <c r="A15" s="42" t="s">
        <v>0</v>
      </c>
      <c r="B15" s="42" t="s">
        <v>1</v>
      </c>
      <c r="C15" s="45" t="s">
        <v>923</v>
      </c>
      <c r="D15" s="45" t="s">
        <v>544</v>
      </c>
      <c r="E15" s="29" t="s">
        <v>907</v>
      </c>
      <c r="F15" s="47">
        <v>4</v>
      </c>
      <c r="G15" s="42">
        <v>1</v>
      </c>
      <c r="H15" s="42"/>
      <c r="I15" s="44">
        <v>81.9</v>
      </c>
      <c r="J15" s="44">
        <f t="shared" si="0"/>
        <v>481.9</v>
      </c>
      <c r="K15" s="42">
        <v>18500</v>
      </c>
      <c r="L15" s="42">
        <f t="shared" si="1"/>
        <v>8915150</v>
      </c>
      <c r="M15" s="42"/>
      <c r="N15" s="42"/>
      <c r="O15" s="42"/>
      <c r="P15" s="45"/>
      <c r="Q15" s="42"/>
      <c r="R15" s="100"/>
      <c r="S15" s="42"/>
      <c r="T15" s="12">
        <f t="shared" si="2"/>
        <v>0</v>
      </c>
      <c r="U15" s="45"/>
      <c r="V15" s="12">
        <f>+T15*0</f>
        <v>0</v>
      </c>
      <c r="W15" s="12">
        <f t="shared" si="3"/>
        <v>0</v>
      </c>
      <c r="X15" s="116"/>
      <c r="Y15" s="117">
        <f t="shared" si="4"/>
        <v>8915150</v>
      </c>
      <c r="Z15" s="12"/>
      <c r="AA15" s="12">
        <f t="shared" si="5"/>
        <v>8915150</v>
      </c>
      <c r="AB15" s="12">
        <v>0.3</v>
      </c>
      <c r="AC15" s="12">
        <f t="shared" si="6"/>
        <v>26745.45</v>
      </c>
      <c r="AD15" s="42"/>
      <c r="AE15" s="12"/>
    </row>
    <row r="16" spans="1:31" s="46" customFormat="1" ht="21">
      <c r="A16" s="42" t="s">
        <v>0</v>
      </c>
      <c r="B16" s="42" t="s">
        <v>1</v>
      </c>
      <c r="C16" s="45" t="s">
        <v>924</v>
      </c>
      <c r="D16" s="45" t="s">
        <v>545</v>
      </c>
      <c r="E16" s="29" t="s">
        <v>907</v>
      </c>
      <c r="F16" s="47">
        <v>4</v>
      </c>
      <c r="G16" s="42">
        <v>1</v>
      </c>
      <c r="H16" s="42"/>
      <c r="I16" s="44">
        <v>2</v>
      </c>
      <c r="J16" s="44">
        <f t="shared" si="0"/>
        <v>402</v>
      </c>
      <c r="K16" s="42">
        <v>8750</v>
      </c>
      <c r="L16" s="42">
        <f t="shared" si="1"/>
        <v>3517500</v>
      </c>
      <c r="M16" s="42"/>
      <c r="N16" s="42"/>
      <c r="O16" s="42"/>
      <c r="P16" s="45"/>
      <c r="Q16" s="42"/>
      <c r="R16" s="100"/>
      <c r="S16" s="42"/>
      <c r="T16" s="12">
        <f t="shared" si="2"/>
        <v>0</v>
      </c>
      <c r="U16" s="45"/>
      <c r="V16" s="12">
        <f>+T16*0</f>
        <v>0</v>
      </c>
      <c r="W16" s="12">
        <f t="shared" si="3"/>
        <v>0</v>
      </c>
      <c r="X16" s="116"/>
      <c r="Y16" s="117">
        <f t="shared" si="4"/>
        <v>3517500</v>
      </c>
      <c r="Z16" s="12"/>
      <c r="AA16" s="12">
        <f t="shared" si="5"/>
        <v>3517500</v>
      </c>
      <c r="AB16" s="12">
        <v>0.3</v>
      </c>
      <c r="AC16" s="12">
        <f t="shared" si="6"/>
        <v>10552.5</v>
      </c>
      <c r="AD16" s="42"/>
      <c r="AE16" s="12"/>
    </row>
    <row r="17" spans="1:31" s="46" customFormat="1" ht="21">
      <c r="A17" s="42" t="s">
        <v>0</v>
      </c>
      <c r="B17" s="42" t="s">
        <v>1</v>
      </c>
      <c r="C17" s="45" t="s">
        <v>925</v>
      </c>
      <c r="D17" s="45" t="s">
        <v>546</v>
      </c>
      <c r="E17" s="10" t="s">
        <v>909</v>
      </c>
      <c r="F17" s="47" t="s">
        <v>140</v>
      </c>
      <c r="G17" s="42"/>
      <c r="H17" s="42">
        <v>1</v>
      </c>
      <c r="I17" s="44">
        <v>5.2</v>
      </c>
      <c r="J17" s="44">
        <f aca="true" t="shared" si="7" ref="J17:J26">+I17+(H17*100)+(G17*400)</f>
        <v>105.2</v>
      </c>
      <c r="K17" s="42">
        <v>6000</v>
      </c>
      <c r="L17" s="42">
        <f aca="true" t="shared" si="8" ref="L17:L24">+K17*J17</f>
        <v>631200</v>
      </c>
      <c r="M17" s="42"/>
      <c r="N17" s="42"/>
      <c r="O17" s="100"/>
      <c r="P17" s="45"/>
      <c r="Q17" s="100"/>
      <c r="R17" s="100"/>
      <c r="S17" s="42"/>
      <c r="T17" s="12">
        <f aca="true" t="shared" si="9" ref="T17:T26">+Q17*S17</f>
        <v>0</v>
      </c>
      <c r="U17" s="45"/>
      <c r="V17" s="12">
        <f>+T17*0</f>
        <v>0</v>
      </c>
      <c r="W17" s="12">
        <f aca="true" t="shared" si="10" ref="W17:W26">+T17-V17</f>
        <v>0</v>
      </c>
      <c r="X17" s="116"/>
      <c r="Y17" s="117">
        <f t="shared" si="4"/>
        <v>631200</v>
      </c>
      <c r="Z17" s="12"/>
      <c r="AA17" s="12">
        <f aca="true" t="shared" si="11" ref="AA17:AA28">+Y17-Z17</f>
        <v>631200</v>
      </c>
      <c r="AB17" s="12">
        <v>0.3</v>
      </c>
      <c r="AC17" s="12">
        <f aca="true" t="shared" si="12" ref="AC17:AC26">+AA17*AB17/100</f>
        <v>1893.6</v>
      </c>
      <c r="AD17" s="42"/>
      <c r="AE17" s="12"/>
    </row>
    <row r="18" spans="1:31" s="46" customFormat="1" ht="21">
      <c r="A18" s="42" t="s">
        <v>0</v>
      </c>
      <c r="B18" s="42" t="s">
        <v>1</v>
      </c>
      <c r="C18" s="45" t="s">
        <v>926</v>
      </c>
      <c r="D18" s="45" t="s">
        <v>547</v>
      </c>
      <c r="E18" s="29" t="s">
        <v>907</v>
      </c>
      <c r="F18" s="47" t="s">
        <v>140</v>
      </c>
      <c r="G18" s="42"/>
      <c r="H18" s="42"/>
      <c r="I18" s="44">
        <v>34.4</v>
      </c>
      <c r="J18" s="44">
        <f t="shared" si="7"/>
        <v>34.4</v>
      </c>
      <c r="K18" s="42">
        <v>28000</v>
      </c>
      <c r="L18" s="42">
        <f t="shared" si="8"/>
        <v>963200</v>
      </c>
      <c r="M18" s="42"/>
      <c r="N18" s="42"/>
      <c r="O18" s="100"/>
      <c r="P18" s="45"/>
      <c r="Q18" s="100"/>
      <c r="R18" s="100"/>
      <c r="S18" s="42"/>
      <c r="T18" s="12">
        <f t="shared" si="9"/>
        <v>0</v>
      </c>
      <c r="U18" s="45"/>
      <c r="V18" s="12">
        <f>+T18*0</f>
        <v>0</v>
      </c>
      <c r="W18" s="12">
        <f t="shared" si="10"/>
        <v>0</v>
      </c>
      <c r="X18" s="116"/>
      <c r="Y18" s="117">
        <f t="shared" si="4"/>
        <v>963200</v>
      </c>
      <c r="Z18" s="12"/>
      <c r="AA18" s="12">
        <f t="shared" si="11"/>
        <v>963200</v>
      </c>
      <c r="AB18" s="12">
        <v>0.3</v>
      </c>
      <c r="AC18" s="12">
        <f t="shared" si="12"/>
        <v>2889.6</v>
      </c>
      <c r="AD18" s="42"/>
      <c r="AE18" s="12"/>
    </row>
    <row r="19" spans="1:31" s="46" customFormat="1" ht="21">
      <c r="A19" s="42" t="s">
        <v>0</v>
      </c>
      <c r="B19" s="42" t="s">
        <v>1</v>
      </c>
      <c r="C19" s="45" t="s">
        <v>927</v>
      </c>
      <c r="D19" s="45" t="s">
        <v>548</v>
      </c>
      <c r="E19" s="29" t="s">
        <v>907</v>
      </c>
      <c r="F19" s="47" t="s">
        <v>137</v>
      </c>
      <c r="G19" s="42"/>
      <c r="H19" s="42">
        <v>1</v>
      </c>
      <c r="I19" s="44">
        <v>18.6</v>
      </c>
      <c r="J19" s="44">
        <f t="shared" si="7"/>
        <v>118.6</v>
      </c>
      <c r="K19" s="42">
        <v>30000</v>
      </c>
      <c r="L19" s="42">
        <f t="shared" si="8"/>
        <v>3558000</v>
      </c>
      <c r="M19" s="42"/>
      <c r="N19" s="42" t="s">
        <v>64</v>
      </c>
      <c r="O19" s="101" t="s">
        <v>446</v>
      </c>
      <c r="P19" s="45">
        <v>2</v>
      </c>
      <c r="Q19" s="100">
        <v>180</v>
      </c>
      <c r="R19" s="100"/>
      <c r="S19" s="42">
        <v>6550</v>
      </c>
      <c r="T19" s="12">
        <f t="shared" si="9"/>
        <v>1179000</v>
      </c>
      <c r="U19" s="45" t="s">
        <v>73</v>
      </c>
      <c r="V19" s="12">
        <f>+T19*0.05</f>
        <v>58950</v>
      </c>
      <c r="W19" s="12">
        <f t="shared" si="10"/>
        <v>1120050</v>
      </c>
      <c r="X19" s="116"/>
      <c r="Y19" s="117">
        <f t="shared" si="4"/>
        <v>4678050</v>
      </c>
      <c r="Z19" s="12"/>
      <c r="AA19" s="12">
        <f t="shared" si="11"/>
        <v>4678050</v>
      </c>
      <c r="AB19" s="12">
        <v>0.02</v>
      </c>
      <c r="AC19" s="12">
        <f t="shared" si="12"/>
        <v>935.61</v>
      </c>
      <c r="AD19" s="42"/>
      <c r="AE19" s="12"/>
    </row>
    <row r="20" spans="1:31" s="46" customFormat="1" ht="21">
      <c r="A20" s="42" t="s">
        <v>0</v>
      </c>
      <c r="B20" s="42" t="s">
        <v>1</v>
      </c>
      <c r="C20" s="45" t="s">
        <v>928</v>
      </c>
      <c r="D20" s="45" t="s">
        <v>549</v>
      </c>
      <c r="E20" s="29" t="s">
        <v>907</v>
      </c>
      <c r="F20" s="47" t="s">
        <v>143</v>
      </c>
      <c r="G20" s="42"/>
      <c r="H20" s="42"/>
      <c r="I20" s="44">
        <v>29.8</v>
      </c>
      <c r="J20" s="44">
        <f t="shared" si="7"/>
        <v>29.8</v>
      </c>
      <c r="K20" s="42">
        <v>35000</v>
      </c>
      <c r="L20" s="42">
        <f t="shared" si="8"/>
        <v>1043000</v>
      </c>
      <c r="M20" s="42"/>
      <c r="N20" s="42" t="s">
        <v>64</v>
      </c>
      <c r="O20" s="101" t="s">
        <v>446</v>
      </c>
      <c r="P20" s="45">
        <v>3</v>
      </c>
      <c r="Q20" s="100">
        <f>75+140</f>
        <v>215</v>
      </c>
      <c r="R20" s="100"/>
      <c r="S20" s="42">
        <v>6550</v>
      </c>
      <c r="T20" s="12">
        <f t="shared" si="9"/>
        <v>1408250</v>
      </c>
      <c r="U20" s="45" t="s">
        <v>379</v>
      </c>
      <c r="V20" s="12">
        <f>+T20*0.03</f>
        <v>42247.5</v>
      </c>
      <c r="W20" s="12">
        <f t="shared" si="10"/>
        <v>1366002.5</v>
      </c>
      <c r="X20" s="116"/>
      <c r="Y20" s="117">
        <f t="shared" si="4"/>
        <v>2409002.5</v>
      </c>
      <c r="Z20" s="12"/>
      <c r="AA20" s="12">
        <f t="shared" si="11"/>
        <v>2409002.5</v>
      </c>
      <c r="AB20" s="12">
        <v>0.3</v>
      </c>
      <c r="AC20" s="12">
        <f t="shared" si="12"/>
        <v>7227.0075</v>
      </c>
      <c r="AD20" s="42"/>
      <c r="AE20" s="12"/>
    </row>
    <row r="21" spans="1:31" s="46" customFormat="1" ht="21">
      <c r="A21" s="42" t="s">
        <v>0</v>
      </c>
      <c r="B21" s="42" t="s">
        <v>1</v>
      </c>
      <c r="C21" s="45" t="s">
        <v>929</v>
      </c>
      <c r="D21" s="45" t="s">
        <v>550</v>
      </c>
      <c r="E21" s="29" t="s">
        <v>907</v>
      </c>
      <c r="F21" s="47" t="s">
        <v>143</v>
      </c>
      <c r="G21" s="42"/>
      <c r="H21" s="42"/>
      <c r="I21" s="44">
        <v>37.4</v>
      </c>
      <c r="J21" s="44">
        <f t="shared" si="7"/>
        <v>37.4</v>
      </c>
      <c r="K21" s="42">
        <v>35000</v>
      </c>
      <c r="L21" s="42">
        <f t="shared" si="8"/>
        <v>1309000</v>
      </c>
      <c r="M21" s="42"/>
      <c r="N21" s="42" t="s">
        <v>60</v>
      </c>
      <c r="O21" s="101" t="s">
        <v>446</v>
      </c>
      <c r="P21" s="45">
        <v>3</v>
      </c>
      <c r="Q21" s="100">
        <v>140</v>
      </c>
      <c r="R21" s="100"/>
      <c r="S21" s="42">
        <v>7550</v>
      </c>
      <c r="T21" s="12">
        <f t="shared" si="9"/>
        <v>1057000</v>
      </c>
      <c r="U21" s="102" t="s">
        <v>84</v>
      </c>
      <c r="V21" s="12">
        <f>+T21*0.2</f>
        <v>211400</v>
      </c>
      <c r="W21" s="12">
        <f t="shared" si="10"/>
        <v>845600</v>
      </c>
      <c r="X21" s="116"/>
      <c r="Y21" s="117">
        <f t="shared" si="4"/>
        <v>2154600</v>
      </c>
      <c r="Z21" s="12"/>
      <c r="AA21" s="12">
        <f t="shared" si="11"/>
        <v>2154600</v>
      </c>
      <c r="AB21" s="12">
        <v>0.3</v>
      </c>
      <c r="AC21" s="12">
        <f t="shared" si="12"/>
        <v>6463.8</v>
      </c>
      <c r="AD21" s="42"/>
      <c r="AE21" s="12"/>
    </row>
    <row r="22" spans="1:31" s="46" customFormat="1" ht="21">
      <c r="A22" s="42" t="s">
        <v>0</v>
      </c>
      <c r="B22" s="42" t="s">
        <v>1</v>
      </c>
      <c r="C22" s="45" t="s">
        <v>930</v>
      </c>
      <c r="D22" s="51" t="s">
        <v>551</v>
      </c>
      <c r="E22" s="29" t="s">
        <v>907</v>
      </c>
      <c r="F22" s="47" t="s">
        <v>167</v>
      </c>
      <c r="G22" s="42"/>
      <c r="H22" s="42"/>
      <c r="I22" s="44">
        <v>29.9</v>
      </c>
      <c r="J22" s="44">
        <f t="shared" si="7"/>
        <v>29.9</v>
      </c>
      <c r="K22" s="42">
        <v>35000</v>
      </c>
      <c r="L22" s="42">
        <f t="shared" si="8"/>
        <v>1046500</v>
      </c>
      <c r="M22" s="42">
        <v>1</v>
      </c>
      <c r="N22" s="42" t="s">
        <v>60</v>
      </c>
      <c r="O22" s="101" t="s">
        <v>446</v>
      </c>
      <c r="P22" s="45">
        <v>2</v>
      </c>
      <c r="Q22" s="100">
        <v>48</v>
      </c>
      <c r="R22" s="100">
        <f>+Q22*100/(Q22+Q23)</f>
        <v>60</v>
      </c>
      <c r="S22" s="42">
        <v>7550</v>
      </c>
      <c r="T22" s="12">
        <f t="shared" si="9"/>
        <v>362400</v>
      </c>
      <c r="U22" s="102" t="s">
        <v>84</v>
      </c>
      <c r="V22" s="12">
        <f>+T22*0.2</f>
        <v>72480</v>
      </c>
      <c r="W22" s="12">
        <f t="shared" si="10"/>
        <v>289920</v>
      </c>
      <c r="X22" s="116"/>
      <c r="Y22" s="117">
        <f>+(L22+L24)*(R22/100)+W22</f>
        <v>1545720</v>
      </c>
      <c r="Z22" s="12"/>
      <c r="AA22" s="12">
        <f t="shared" si="11"/>
        <v>1545720</v>
      </c>
      <c r="AB22" s="12">
        <v>0.02</v>
      </c>
      <c r="AC22" s="12">
        <f t="shared" si="12"/>
        <v>309.144</v>
      </c>
      <c r="AD22" s="42"/>
      <c r="AE22" s="12"/>
    </row>
    <row r="23" spans="1:31" s="46" customFormat="1" ht="21">
      <c r="A23" s="42" t="s">
        <v>0</v>
      </c>
      <c r="B23" s="42"/>
      <c r="C23" s="45"/>
      <c r="D23" s="51"/>
      <c r="E23" s="45"/>
      <c r="F23" s="47"/>
      <c r="G23" s="42"/>
      <c r="H23" s="42"/>
      <c r="I23" s="44"/>
      <c r="J23" s="44">
        <f>+I23+(H23*100)+(G23*400)</f>
        <v>0</v>
      </c>
      <c r="K23" s="42"/>
      <c r="L23" s="42">
        <f t="shared" si="8"/>
        <v>0</v>
      </c>
      <c r="M23" s="42">
        <v>2</v>
      </c>
      <c r="N23" s="42" t="s">
        <v>60</v>
      </c>
      <c r="O23" s="101" t="s">
        <v>446</v>
      </c>
      <c r="P23" s="45">
        <v>3</v>
      </c>
      <c r="Q23" s="100">
        <v>32</v>
      </c>
      <c r="R23" s="100">
        <f>+Q23*100/(Q22+Q23)</f>
        <v>40</v>
      </c>
      <c r="S23" s="42">
        <v>7550</v>
      </c>
      <c r="T23" s="12">
        <f>+Q23*S23</f>
        <v>241600</v>
      </c>
      <c r="U23" s="102" t="s">
        <v>84</v>
      </c>
      <c r="V23" s="12">
        <f>+T23*0</f>
        <v>0</v>
      </c>
      <c r="W23" s="12">
        <f>+T23-V23</f>
        <v>241600</v>
      </c>
      <c r="X23" s="116"/>
      <c r="Y23" s="117">
        <f>+(L22+L24)*(R23/100)+W23</f>
        <v>1078800</v>
      </c>
      <c r="Z23" s="12"/>
      <c r="AA23" s="12">
        <f t="shared" si="11"/>
        <v>1078800</v>
      </c>
      <c r="AB23" s="12">
        <v>0.3</v>
      </c>
      <c r="AC23" s="12">
        <f t="shared" si="12"/>
        <v>3236.4</v>
      </c>
      <c r="AD23" s="42"/>
      <c r="AE23" s="12"/>
    </row>
    <row r="24" spans="1:31" s="46" customFormat="1" ht="21">
      <c r="A24" s="42" t="s">
        <v>0</v>
      </c>
      <c r="B24" s="42" t="s">
        <v>1</v>
      </c>
      <c r="C24" s="45" t="s">
        <v>931</v>
      </c>
      <c r="D24" s="51" t="s">
        <v>552</v>
      </c>
      <c r="E24" s="29" t="s">
        <v>907</v>
      </c>
      <c r="F24" s="47" t="s">
        <v>137</v>
      </c>
      <c r="G24" s="42"/>
      <c r="H24" s="42"/>
      <c r="I24" s="44">
        <v>29.9</v>
      </c>
      <c r="J24" s="44">
        <f t="shared" si="7"/>
        <v>29.9</v>
      </c>
      <c r="K24" s="42">
        <v>35000</v>
      </c>
      <c r="L24" s="42">
        <f t="shared" si="8"/>
        <v>1046500</v>
      </c>
      <c r="M24" s="42"/>
      <c r="N24" s="42"/>
      <c r="O24" s="42"/>
      <c r="P24" s="31"/>
      <c r="Q24" s="42"/>
      <c r="R24" s="100"/>
      <c r="S24" s="42"/>
      <c r="T24" s="12">
        <f t="shared" si="9"/>
        <v>0</v>
      </c>
      <c r="U24" s="45"/>
      <c r="V24" s="12">
        <f>+T24*0</f>
        <v>0</v>
      </c>
      <c r="W24" s="12">
        <f t="shared" si="10"/>
        <v>0</v>
      </c>
      <c r="X24" s="116"/>
      <c r="Y24" s="117">
        <f t="shared" si="4"/>
        <v>1046500</v>
      </c>
      <c r="Z24" s="12"/>
      <c r="AA24" s="12">
        <f t="shared" si="11"/>
        <v>1046500</v>
      </c>
      <c r="AB24" s="12">
        <v>0.02</v>
      </c>
      <c r="AC24" s="12">
        <f t="shared" si="12"/>
        <v>209.3</v>
      </c>
      <c r="AD24" s="42"/>
      <c r="AE24" s="12"/>
    </row>
    <row r="25" spans="1:31" s="46" customFormat="1" ht="21">
      <c r="A25" s="42" t="s">
        <v>0</v>
      </c>
      <c r="B25" s="42" t="s">
        <v>1</v>
      </c>
      <c r="C25" s="45" t="s">
        <v>932</v>
      </c>
      <c r="D25" s="45" t="s">
        <v>553</v>
      </c>
      <c r="E25" s="29" t="s">
        <v>907</v>
      </c>
      <c r="F25" s="47" t="s">
        <v>177</v>
      </c>
      <c r="G25" s="42"/>
      <c r="H25" s="42"/>
      <c r="I25" s="44">
        <v>79.2</v>
      </c>
      <c r="J25" s="44">
        <f t="shared" si="7"/>
        <v>79.2</v>
      </c>
      <c r="K25" s="42">
        <v>15000</v>
      </c>
      <c r="L25" s="42">
        <f t="shared" si="1"/>
        <v>1188000</v>
      </c>
      <c r="M25" s="42"/>
      <c r="N25" s="42"/>
      <c r="O25" s="100"/>
      <c r="P25" s="31"/>
      <c r="Q25" s="100"/>
      <c r="R25" s="100"/>
      <c r="S25" s="42"/>
      <c r="T25" s="12">
        <f t="shared" si="9"/>
        <v>0</v>
      </c>
      <c r="U25" s="45"/>
      <c r="V25" s="12">
        <f>+T25*0</f>
        <v>0</v>
      </c>
      <c r="W25" s="12">
        <f t="shared" si="10"/>
        <v>0</v>
      </c>
      <c r="X25" s="116"/>
      <c r="Y25" s="117">
        <f t="shared" si="4"/>
        <v>1188000</v>
      </c>
      <c r="Z25" s="12">
        <f>+Y25</f>
        <v>1188000</v>
      </c>
      <c r="AA25" s="12">
        <f t="shared" si="11"/>
        <v>0</v>
      </c>
      <c r="AB25" s="12"/>
      <c r="AC25" s="12">
        <f t="shared" si="12"/>
        <v>0</v>
      </c>
      <c r="AD25" s="42"/>
      <c r="AE25" s="12"/>
    </row>
    <row r="26" spans="1:31" s="46" customFormat="1" ht="21">
      <c r="A26" s="42" t="s">
        <v>0</v>
      </c>
      <c r="B26" s="42" t="s">
        <v>1</v>
      </c>
      <c r="C26" s="45" t="s">
        <v>933</v>
      </c>
      <c r="D26" s="45" t="s">
        <v>554</v>
      </c>
      <c r="E26" s="29" t="s">
        <v>907</v>
      </c>
      <c r="F26" s="47" t="s">
        <v>177</v>
      </c>
      <c r="G26" s="42"/>
      <c r="H26" s="42"/>
      <c r="I26" s="44">
        <v>49.9</v>
      </c>
      <c r="J26" s="44">
        <f t="shared" si="7"/>
        <v>49.9</v>
      </c>
      <c r="K26" s="42">
        <v>15000</v>
      </c>
      <c r="L26" s="42">
        <f t="shared" si="1"/>
        <v>748500</v>
      </c>
      <c r="M26" s="42"/>
      <c r="N26" s="42"/>
      <c r="O26" s="100"/>
      <c r="P26" s="31"/>
      <c r="Q26" s="100"/>
      <c r="R26" s="100"/>
      <c r="S26" s="42"/>
      <c r="T26" s="12">
        <f t="shared" si="9"/>
        <v>0</v>
      </c>
      <c r="U26" s="45"/>
      <c r="V26" s="12">
        <f>+T26*0</f>
        <v>0</v>
      </c>
      <c r="W26" s="12">
        <f t="shared" si="10"/>
        <v>0</v>
      </c>
      <c r="X26" s="116"/>
      <c r="Y26" s="117">
        <f t="shared" si="4"/>
        <v>748500</v>
      </c>
      <c r="Z26" s="12">
        <f>+Y26</f>
        <v>748500</v>
      </c>
      <c r="AA26" s="12">
        <f t="shared" si="11"/>
        <v>0</v>
      </c>
      <c r="AB26" s="12"/>
      <c r="AC26" s="12">
        <f t="shared" si="12"/>
        <v>0</v>
      </c>
      <c r="AD26" s="42"/>
      <c r="AE26" s="12"/>
    </row>
    <row r="27" spans="1:31" s="46" customFormat="1" ht="21">
      <c r="A27" s="42" t="s">
        <v>0</v>
      </c>
      <c r="B27" s="42" t="s">
        <v>1</v>
      </c>
      <c r="C27" s="45" t="s">
        <v>934</v>
      </c>
      <c r="D27" s="51" t="s">
        <v>555</v>
      </c>
      <c r="E27" s="29" t="s">
        <v>907</v>
      </c>
      <c r="F27" s="47" t="s">
        <v>137</v>
      </c>
      <c r="G27" s="42"/>
      <c r="H27" s="42"/>
      <c r="I27" s="44">
        <v>64.8</v>
      </c>
      <c r="J27" s="44">
        <f aca="true" t="shared" si="13" ref="J27:J34">+I27+(H27*100)+(G27*400)</f>
        <v>64.8</v>
      </c>
      <c r="K27" s="42">
        <v>18000</v>
      </c>
      <c r="L27" s="42">
        <f t="shared" si="1"/>
        <v>1166400</v>
      </c>
      <c r="M27" s="42"/>
      <c r="N27" s="42" t="s">
        <v>183</v>
      </c>
      <c r="O27" s="101" t="s">
        <v>446</v>
      </c>
      <c r="P27" s="45">
        <v>2</v>
      </c>
      <c r="Q27" s="100">
        <f>32*5+80</f>
        <v>240</v>
      </c>
      <c r="R27" s="100"/>
      <c r="S27" s="42">
        <v>7550</v>
      </c>
      <c r="T27" s="12">
        <f aca="true" t="shared" si="14" ref="T27:T34">+Q27*S27</f>
        <v>1812000</v>
      </c>
      <c r="U27" s="102" t="s">
        <v>84</v>
      </c>
      <c r="V27" s="12">
        <f>+T27*0.2</f>
        <v>362400</v>
      </c>
      <c r="W27" s="12">
        <f aca="true" t="shared" si="15" ref="W27:W34">+T27-V27</f>
        <v>1449600</v>
      </c>
      <c r="X27" s="116"/>
      <c r="Y27" s="117">
        <f t="shared" si="4"/>
        <v>2616000</v>
      </c>
      <c r="Z27" s="12"/>
      <c r="AA27" s="12">
        <f t="shared" si="11"/>
        <v>2616000</v>
      </c>
      <c r="AB27" s="12">
        <v>0.02</v>
      </c>
      <c r="AC27" s="12">
        <f>+AA27*AB27/100</f>
        <v>523.2</v>
      </c>
      <c r="AD27" s="42"/>
      <c r="AE27" s="12"/>
    </row>
    <row r="28" spans="1:31" s="46" customFormat="1" ht="21">
      <c r="A28" s="42" t="s">
        <v>0</v>
      </c>
      <c r="B28" s="42" t="s">
        <v>1</v>
      </c>
      <c r="C28" s="45" t="s">
        <v>935</v>
      </c>
      <c r="D28" s="51" t="s">
        <v>556</v>
      </c>
      <c r="E28" s="29" t="s">
        <v>907</v>
      </c>
      <c r="F28" s="47" t="s">
        <v>140</v>
      </c>
      <c r="G28" s="42"/>
      <c r="H28" s="42"/>
      <c r="I28" s="44">
        <v>49.5</v>
      </c>
      <c r="J28" s="44">
        <f t="shared" si="13"/>
        <v>49.5</v>
      </c>
      <c r="K28" s="42">
        <v>6000</v>
      </c>
      <c r="L28" s="42">
        <f t="shared" si="1"/>
        <v>297000</v>
      </c>
      <c r="M28" s="42"/>
      <c r="N28" s="42"/>
      <c r="O28" s="100"/>
      <c r="P28" s="45"/>
      <c r="Q28" s="100"/>
      <c r="R28" s="100"/>
      <c r="S28" s="42"/>
      <c r="T28" s="12">
        <f t="shared" si="14"/>
        <v>0</v>
      </c>
      <c r="U28" s="45"/>
      <c r="V28" s="12">
        <f aca="true" t="shared" si="16" ref="V28:V34">+T28*0</f>
        <v>0</v>
      </c>
      <c r="W28" s="12">
        <f t="shared" si="15"/>
        <v>0</v>
      </c>
      <c r="X28" s="116"/>
      <c r="Y28" s="117">
        <f t="shared" si="4"/>
        <v>297000</v>
      </c>
      <c r="Z28" s="12"/>
      <c r="AA28" s="12">
        <f t="shared" si="11"/>
        <v>297000</v>
      </c>
      <c r="AB28" s="12">
        <v>0.3</v>
      </c>
      <c r="AC28" s="12">
        <f>+AA28*AB28/100</f>
        <v>891</v>
      </c>
      <c r="AD28" s="42"/>
      <c r="AE28" s="12"/>
    </row>
    <row r="29" spans="1:31" s="46" customFormat="1" ht="21">
      <c r="A29" s="42" t="s">
        <v>0</v>
      </c>
      <c r="B29" s="42" t="s">
        <v>1</v>
      </c>
      <c r="C29" s="45" t="s">
        <v>936</v>
      </c>
      <c r="D29" s="45" t="s">
        <v>557</v>
      </c>
      <c r="E29" s="29" t="s">
        <v>907</v>
      </c>
      <c r="F29" s="47" t="s">
        <v>177</v>
      </c>
      <c r="G29" s="42"/>
      <c r="H29" s="42"/>
      <c r="I29" s="44">
        <v>50.3</v>
      </c>
      <c r="J29" s="44">
        <f t="shared" si="13"/>
        <v>50.3</v>
      </c>
      <c r="K29" s="42">
        <v>15000</v>
      </c>
      <c r="L29" s="42">
        <f t="shared" si="1"/>
        <v>754500</v>
      </c>
      <c r="M29" s="42"/>
      <c r="N29" s="110" t="s">
        <v>1768</v>
      </c>
      <c r="O29" s="42"/>
      <c r="P29" s="31"/>
      <c r="Q29" s="42"/>
      <c r="R29" s="100"/>
      <c r="S29" s="42"/>
      <c r="T29" s="12">
        <f t="shared" si="14"/>
        <v>0</v>
      </c>
      <c r="U29" s="45"/>
      <c r="V29" s="12">
        <f t="shared" si="16"/>
        <v>0</v>
      </c>
      <c r="W29" s="12">
        <f t="shared" si="15"/>
        <v>0</v>
      </c>
      <c r="X29" s="116"/>
      <c r="Y29" s="117">
        <f t="shared" si="4"/>
        <v>754500</v>
      </c>
      <c r="Z29" s="12">
        <f>+Y29</f>
        <v>754500</v>
      </c>
      <c r="AA29" s="12">
        <f t="shared" si="5"/>
        <v>0</v>
      </c>
      <c r="AB29" s="12"/>
      <c r="AC29" s="12">
        <f t="shared" si="6"/>
        <v>0</v>
      </c>
      <c r="AD29" s="42"/>
      <c r="AE29" s="12"/>
    </row>
    <row r="30" spans="1:31" s="46" customFormat="1" ht="21">
      <c r="A30" s="42"/>
      <c r="B30" s="42"/>
      <c r="C30" s="45"/>
      <c r="D30" s="45"/>
      <c r="E30" s="45"/>
      <c r="F30" s="47"/>
      <c r="G30" s="42"/>
      <c r="H30" s="42"/>
      <c r="I30" s="44"/>
      <c r="J30" s="44">
        <f t="shared" si="13"/>
        <v>0</v>
      </c>
      <c r="K30" s="42"/>
      <c r="L30" s="42">
        <f t="shared" si="1"/>
        <v>0</v>
      </c>
      <c r="M30" s="42"/>
      <c r="N30" s="42"/>
      <c r="O30" s="42"/>
      <c r="P30" s="31"/>
      <c r="Q30" s="42"/>
      <c r="R30" s="42"/>
      <c r="S30" s="42"/>
      <c r="T30" s="12">
        <f t="shared" si="14"/>
        <v>0</v>
      </c>
      <c r="U30" s="45"/>
      <c r="V30" s="12">
        <f t="shared" si="16"/>
        <v>0</v>
      </c>
      <c r="W30" s="12">
        <f t="shared" si="15"/>
        <v>0</v>
      </c>
      <c r="X30" s="116"/>
      <c r="Y30" s="117">
        <f t="shared" si="4"/>
        <v>0</v>
      </c>
      <c r="Z30" s="12"/>
      <c r="AA30" s="12">
        <f t="shared" si="5"/>
        <v>0</v>
      </c>
      <c r="AB30" s="12"/>
      <c r="AC30" s="12">
        <f t="shared" si="6"/>
        <v>0</v>
      </c>
      <c r="AD30" s="42"/>
      <c r="AE30" s="12"/>
    </row>
    <row r="31" spans="1:31" s="46" customFormat="1" ht="21">
      <c r="A31" s="42"/>
      <c r="B31" s="42"/>
      <c r="C31" s="45"/>
      <c r="D31" s="45"/>
      <c r="E31" s="45"/>
      <c r="F31" s="47"/>
      <c r="G31" s="42"/>
      <c r="H31" s="42"/>
      <c r="I31" s="44"/>
      <c r="J31" s="44">
        <f t="shared" si="13"/>
        <v>0</v>
      </c>
      <c r="K31" s="42"/>
      <c r="L31" s="42">
        <f t="shared" si="1"/>
        <v>0</v>
      </c>
      <c r="M31" s="42"/>
      <c r="N31" s="42"/>
      <c r="O31" s="42"/>
      <c r="P31" s="31"/>
      <c r="Q31" s="42"/>
      <c r="R31" s="42"/>
      <c r="S31" s="42"/>
      <c r="T31" s="12">
        <f t="shared" si="14"/>
        <v>0</v>
      </c>
      <c r="U31" s="45"/>
      <c r="V31" s="12">
        <f t="shared" si="16"/>
        <v>0</v>
      </c>
      <c r="W31" s="12">
        <f t="shared" si="15"/>
        <v>0</v>
      </c>
      <c r="X31" s="116"/>
      <c r="Y31" s="117">
        <f t="shared" si="4"/>
        <v>0</v>
      </c>
      <c r="Z31" s="12"/>
      <c r="AA31" s="12">
        <f t="shared" si="5"/>
        <v>0</v>
      </c>
      <c r="AB31" s="12"/>
      <c r="AC31" s="12">
        <f t="shared" si="6"/>
        <v>0</v>
      </c>
      <c r="AD31" s="42"/>
      <c r="AE31" s="12"/>
    </row>
    <row r="32" spans="1:31" s="46" customFormat="1" ht="21">
      <c r="A32" s="42" t="s">
        <v>0</v>
      </c>
      <c r="B32" s="42" t="s">
        <v>1</v>
      </c>
      <c r="C32" s="45" t="s">
        <v>937</v>
      </c>
      <c r="D32" s="45" t="s">
        <v>558</v>
      </c>
      <c r="E32" s="29" t="s">
        <v>907</v>
      </c>
      <c r="F32" s="47" t="s">
        <v>140</v>
      </c>
      <c r="G32" s="42"/>
      <c r="H32" s="42"/>
      <c r="I32" s="44">
        <v>49.7</v>
      </c>
      <c r="J32" s="44">
        <f t="shared" si="13"/>
        <v>49.7</v>
      </c>
      <c r="K32" s="42">
        <v>8000</v>
      </c>
      <c r="L32" s="42">
        <f t="shared" si="1"/>
        <v>397600</v>
      </c>
      <c r="M32" s="42"/>
      <c r="N32" s="42"/>
      <c r="O32" s="100"/>
      <c r="P32" s="45"/>
      <c r="Q32" s="100"/>
      <c r="R32" s="100"/>
      <c r="S32" s="42"/>
      <c r="T32" s="12">
        <f t="shared" si="14"/>
        <v>0</v>
      </c>
      <c r="U32" s="45"/>
      <c r="V32" s="12">
        <f t="shared" si="16"/>
        <v>0</v>
      </c>
      <c r="W32" s="12">
        <f t="shared" si="15"/>
        <v>0</v>
      </c>
      <c r="X32" s="116"/>
      <c r="Y32" s="117">
        <f t="shared" si="4"/>
        <v>397600</v>
      </c>
      <c r="Z32" s="12"/>
      <c r="AA32" s="12">
        <f t="shared" si="5"/>
        <v>397600</v>
      </c>
      <c r="AB32" s="12">
        <v>0.3</v>
      </c>
      <c r="AC32" s="12">
        <f t="shared" si="6"/>
        <v>1192.8</v>
      </c>
      <c r="AD32" s="42"/>
      <c r="AE32" s="12"/>
    </row>
    <row r="33" spans="1:31" s="46" customFormat="1" ht="21">
      <c r="A33" s="42"/>
      <c r="B33" s="42"/>
      <c r="C33" s="45"/>
      <c r="D33" s="45"/>
      <c r="E33" s="45"/>
      <c r="F33" s="47"/>
      <c r="G33" s="42"/>
      <c r="H33" s="42"/>
      <c r="I33" s="44"/>
      <c r="J33" s="44">
        <f t="shared" si="13"/>
        <v>0</v>
      </c>
      <c r="K33" s="42"/>
      <c r="L33" s="42">
        <f t="shared" si="1"/>
        <v>0</v>
      </c>
      <c r="M33" s="42"/>
      <c r="N33" s="42"/>
      <c r="O33" s="100"/>
      <c r="P33" s="31"/>
      <c r="Q33" s="100"/>
      <c r="R33" s="100"/>
      <c r="S33" s="42"/>
      <c r="T33" s="12">
        <f t="shared" si="14"/>
        <v>0</v>
      </c>
      <c r="U33" s="45"/>
      <c r="V33" s="12">
        <f t="shared" si="16"/>
        <v>0</v>
      </c>
      <c r="W33" s="12">
        <f t="shared" si="15"/>
        <v>0</v>
      </c>
      <c r="X33" s="116"/>
      <c r="Y33" s="117">
        <f t="shared" si="4"/>
        <v>0</v>
      </c>
      <c r="Z33" s="12"/>
      <c r="AA33" s="12">
        <f t="shared" si="5"/>
        <v>0</v>
      </c>
      <c r="AB33" s="12"/>
      <c r="AC33" s="12">
        <f t="shared" si="6"/>
        <v>0</v>
      </c>
      <c r="AD33" s="42"/>
      <c r="AE33" s="12"/>
    </row>
    <row r="34" spans="1:31" s="46" customFormat="1" ht="21">
      <c r="A34" s="42"/>
      <c r="B34" s="42"/>
      <c r="C34" s="45"/>
      <c r="D34" s="45"/>
      <c r="E34" s="45"/>
      <c r="F34" s="47"/>
      <c r="G34" s="42"/>
      <c r="H34" s="42"/>
      <c r="I34" s="44"/>
      <c r="J34" s="44">
        <f t="shared" si="13"/>
        <v>0</v>
      </c>
      <c r="K34" s="42"/>
      <c r="L34" s="42">
        <f t="shared" si="1"/>
        <v>0</v>
      </c>
      <c r="M34" s="42"/>
      <c r="N34" s="42"/>
      <c r="O34" s="42"/>
      <c r="P34" s="31"/>
      <c r="Q34" s="42"/>
      <c r="R34" s="42"/>
      <c r="S34" s="42"/>
      <c r="T34" s="12">
        <f t="shared" si="14"/>
        <v>0</v>
      </c>
      <c r="U34" s="45"/>
      <c r="V34" s="12">
        <f t="shared" si="16"/>
        <v>0</v>
      </c>
      <c r="W34" s="12">
        <f t="shared" si="15"/>
        <v>0</v>
      </c>
      <c r="X34" s="116"/>
      <c r="Y34" s="117">
        <f t="shared" si="4"/>
        <v>0</v>
      </c>
      <c r="Z34" s="12"/>
      <c r="AA34" s="12">
        <f t="shared" si="5"/>
        <v>0</v>
      </c>
      <c r="AB34" s="12"/>
      <c r="AC34" s="12">
        <f t="shared" si="6"/>
        <v>0</v>
      </c>
      <c r="AD34" s="42"/>
      <c r="AE34" s="12"/>
    </row>
    <row r="35" spans="1:31" s="46" customFormat="1" ht="21">
      <c r="A35" s="42" t="s">
        <v>0</v>
      </c>
      <c r="B35" s="42" t="s">
        <v>1</v>
      </c>
      <c r="C35" s="45" t="s">
        <v>938</v>
      </c>
      <c r="D35" s="45" t="s">
        <v>559</v>
      </c>
      <c r="E35" s="30" t="s">
        <v>908</v>
      </c>
      <c r="F35" s="47" t="s">
        <v>137</v>
      </c>
      <c r="G35" s="42"/>
      <c r="H35" s="42"/>
      <c r="I35" s="44">
        <v>31.8</v>
      </c>
      <c r="J35" s="44">
        <f aca="true" t="shared" si="17" ref="J35:J41">+I35+(H35*100)+(G35*400)</f>
        <v>31.8</v>
      </c>
      <c r="K35" s="42">
        <v>20000</v>
      </c>
      <c r="L35" s="42">
        <f t="shared" si="1"/>
        <v>636000</v>
      </c>
      <c r="M35" s="42"/>
      <c r="N35" s="42" t="s">
        <v>60</v>
      </c>
      <c r="O35" s="101" t="s">
        <v>446</v>
      </c>
      <c r="P35" s="45">
        <v>2</v>
      </c>
      <c r="Q35" s="100">
        <v>196</v>
      </c>
      <c r="R35" s="100"/>
      <c r="S35" s="42">
        <v>7550</v>
      </c>
      <c r="T35" s="12">
        <f aca="true" t="shared" si="18" ref="T35:T41">+Q35*S35</f>
        <v>1479800</v>
      </c>
      <c r="U35" s="102" t="s">
        <v>74</v>
      </c>
      <c r="V35" s="12">
        <f>+T35*0.36</f>
        <v>532728</v>
      </c>
      <c r="W35" s="12">
        <f aca="true" t="shared" si="19" ref="W35:W41">+T35-V35</f>
        <v>947072</v>
      </c>
      <c r="X35" s="116"/>
      <c r="Y35" s="117">
        <f aca="true" t="shared" si="20" ref="Y35:Y59">+L35+W35</f>
        <v>1583072</v>
      </c>
      <c r="Z35" s="12"/>
      <c r="AA35" s="12">
        <f t="shared" si="5"/>
        <v>1583072</v>
      </c>
      <c r="AB35" s="12">
        <v>0.02</v>
      </c>
      <c r="AC35" s="12">
        <f t="shared" si="6"/>
        <v>316.61440000000005</v>
      </c>
      <c r="AD35" s="42"/>
      <c r="AE35" s="12"/>
    </row>
    <row r="36" spans="1:31" s="46" customFormat="1" ht="21">
      <c r="A36" s="42" t="s">
        <v>0</v>
      </c>
      <c r="B36" s="42" t="s">
        <v>1</v>
      </c>
      <c r="C36" s="45" t="s">
        <v>939</v>
      </c>
      <c r="D36" s="45" t="s">
        <v>560</v>
      </c>
      <c r="E36" s="30" t="s">
        <v>908</v>
      </c>
      <c r="F36" s="47" t="s">
        <v>137</v>
      </c>
      <c r="G36" s="42"/>
      <c r="H36" s="42"/>
      <c r="I36" s="44">
        <v>24.8</v>
      </c>
      <c r="J36" s="44">
        <f t="shared" si="17"/>
        <v>24.8</v>
      </c>
      <c r="K36" s="42">
        <v>93000</v>
      </c>
      <c r="L36" s="42">
        <f>+K36*J36</f>
        <v>2306400</v>
      </c>
      <c r="M36" s="42"/>
      <c r="N36" s="42" t="s">
        <v>60</v>
      </c>
      <c r="O36" s="101" t="s">
        <v>446</v>
      </c>
      <c r="P36" s="45">
        <v>2</v>
      </c>
      <c r="Q36" s="100">
        <v>264</v>
      </c>
      <c r="R36" s="100"/>
      <c r="S36" s="42">
        <v>7550</v>
      </c>
      <c r="T36" s="12">
        <f t="shared" si="18"/>
        <v>1993200</v>
      </c>
      <c r="U36" s="102" t="s">
        <v>84</v>
      </c>
      <c r="V36" s="12">
        <f>+T36*0.2</f>
        <v>398640</v>
      </c>
      <c r="W36" s="12">
        <f t="shared" si="19"/>
        <v>1594560</v>
      </c>
      <c r="X36" s="116"/>
      <c r="Y36" s="117">
        <f t="shared" si="20"/>
        <v>3900960</v>
      </c>
      <c r="Z36" s="12">
        <f>+Y36</f>
        <v>3900960</v>
      </c>
      <c r="AA36" s="12">
        <f>+Y36-Z36</f>
        <v>0</v>
      </c>
      <c r="AB36" s="12"/>
      <c r="AC36" s="12">
        <f>+AA36*AB36/100</f>
        <v>0</v>
      </c>
      <c r="AD36" s="42" t="s">
        <v>906</v>
      </c>
      <c r="AE36" s="12"/>
    </row>
    <row r="37" spans="1:31" s="46" customFormat="1" ht="21">
      <c r="A37" s="42" t="s">
        <v>0</v>
      </c>
      <c r="B37" s="42" t="s">
        <v>1</v>
      </c>
      <c r="C37" s="45" t="s">
        <v>940</v>
      </c>
      <c r="D37" s="45" t="s">
        <v>561</v>
      </c>
      <c r="E37" s="10" t="s">
        <v>909</v>
      </c>
      <c r="F37" s="47" t="s">
        <v>140</v>
      </c>
      <c r="G37" s="42"/>
      <c r="H37" s="42"/>
      <c r="I37" s="44">
        <v>42.7</v>
      </c>
      <c r="J37" s="44">
        <f t="shared" si="17"/>
        <v>42.7</v>
      </c>
      <c r="K37" s="42">
        <v>12000</v>
      </c>
      <c r="L37" s="42">
        <f>+K37*J37</f>
        <v>512400.00000000006</v>
      </c>
      <c r="M37" s="42"/>
      <c r="N37" s="42"/>
      <c r="O37" s="42"/>
      <c r="P37" s="45"/>
      <c r="Q37" s="42"/>
      <c r="R37" s="100"/>
      <c r="S37" s="42"/>
      <c r="T37" s="12">
        <f t="shared" si="18"/>
        <v>0</v>
      </c>
      <c r="U37" s="45"/>
      <c r="V37" s="12">
        <f aca="true" t="shared" si="21" ref="V37:V45">+T37*0</f>
        <v>0</v>
      </c>
      <c r="W37" s="12">
        <f t="shared" si="19"/>
        <v>0</v>
      </c>
      <c r="X37" s="116"/>
      <c r="Y37" s="117">
        <f t="shared" si="20"/>
        <v>512400.00000000006</v>
      </c>
      <c r="Z37" s="12"/>
      <c r="AA37" s="12">
        <f>+Y37-Z37</f>
        <v>512400.00000000006</v>
      </c>
      <c r="AB37" s="12">
        <v>0.3</v>
      </c>
      <c r="AC37" s="12">
        <f>+AA37*AB37/100</f>
        <v>1537.2</v>
      </c>
      <c r="AD37" s="42"/>
      <c r="AE37" s="12"/>
    </row>
    <row r="38" spans="1:31" s="46" customFormat="1" ht="21">
      <c r="A38" s="42" t="s">
        <v>0</v>
      </c>
      <c r="B38" s="42" t="s">
        <v>1</v>
      </c>
      <c r="C38" s="45" t="s">
        <v>941</v>
      </c>
      <c r="D38" s="45" t="s">
        <v>562</v>
      </c>
      <c r="E38" s="10" t="s">
        <v>909</v>
      </c>
      <c r="F38" s="47" t="s">
        <v>140</v>
      </c>
      <c r="G38" s="42"/>
      <c r="H38" s="42"/>
      <c r="I38" s="44">
        <v>74.7</v>
      </c>
      <c r="J38" s="44">
        <f t="shared" si="17"/>
        <v>74.7</v>
      </c>
      <c r="K38" s="42">
        <v>12000</v>
      </c>
      <c r="L38" s="42">
        <f t="shared" si="1"/>
        <v>896400</v>
      </c>
      <c r="M38" s="42"/>
      <c r="N38" s="42"/>
      <c r="O38" s="100"/>
      <c r="P38" s="45"/>
      <c r="Q38" s="100"/>
      <c r="R38" s="100"/>
      <c r="S38" s="42"/>
      <c r="T38" s="12">
        <f t="shared" si="18"/>
        <v>0</v>
      </c>
      <c r="U38" s="45"/>
      <c r="V38" s="12">
        <f t="shared" si="21"/>
        <v>0</v>
      </c>
      <c r="W38" s="12">
        <f t="shared" si="19"/>
        <v>0</v>
      </c>
      <c r="X38" s="116"/>
      <c r="Y38" s="117">
        <f t="shared" si="20"/>
        <v>896400</v>
      </c>
      <c r="Z38" s="12"/>
      <c r="AA38" s="12">
        <f t="shared" si="5"/>
        <v>896400</v>
      </c>
      <c r="AB38" s="12">
        <v>0.3</v>
      </c>
      <c r="AC38" s="12">
        <f t="shared" si="6"/>
        <v>2689.2</v>
      </c>
      <c r="AD38" s="42"/>
      <c r="AE38" s="12"/>
    </row>
    <row r="39" spans="1:31" s="46" customFormat="1" ht="21">
      <c r="A39" s="42" t="s">
        <v>0</v>
      </c>
      <c r="B39" s="42" t="s">
        <v>1</v>
      </c>
      <c r="C39" s="45" t="s">
        <v>942</v>
      </c>
      <c r="D39" s="45" t="s">
        <v>563</v>
      </c>
      <c r="E39" s="10" t="s">
        <v>909</v>
      </c>
      <c r="F39" s="47" t="s">
        <v>140</v>
      </c>
      <c r="G39" s="42"/>
      <c r="H39" s="42"/>
      <c r="I39" s="44">
        <v>74.7</v>
      </c>
      <c r="J39" s="44">
        <f t="shared" si="17"/>
        <v>74.7</v>
      </c>
      <c r="K39" s="42">
        <v>12000</v>
      </c>
      <c r="L39" s="42">
        <f t="shared" si="1"/>
        <v>896400</v>
      </c>
      <c r="M39" s="42"/>
      <c r="N39" s="42"/>
      <c r="O39" s="42"/>
      <c r="P39" s="45"/>
      <c r="Q39" s="42"/>
      <c r="R39" s="100"/>
      <c r="S39" s="42"/>
      <c r="T39" s="12">
        <f t="shared" si="18"/>
        <v>0</v>
      </c>
      <c r="U39" s="45"/>
      <c r="V39" s="12">
        <f t="shared" si="21"/>
        <v>0</v>
      </c>
      <c r="W39" s="12">
        <f t="shared" si="19"/>
        <v>0</v>
      </c>
      <c r="X39" s="116"/>
      <c r="Y39" s="117">
        <f t="shared" si="20"/>
        <v>896400</v>
      </c>
      <c r="Z39" s="12"/>
      <c r="AA39" s="12">
        <f t="shared" si="5"/>
        <v>896400</v>
      </c>
      <c r="AB39" s="12">
        <v>0.3</v>
      </c>
      <c r="AC39" s="12">
        <f t="shared" si="6"/>
        <v>2689.2</v>
      </c>
      <c r="AD39" s="42"/>
      <c r="AE39" s="12"/>
    </row>
    <row r="40" spans="1:31" s="46" customFormat="1" ht="21">
      <c r="A40" s="42" t="s">
        <v>0</v>
      </c>
      <c r="B40" s="42" t="s">
        <v>1</v>
      </c>
      <c r="C40" s="45" t="s">
        <v>943</v>
      </c>
      <c r="D40" s="45" t="s">
        <v>564</v>
      </c>
      <c r="E40" s="10" t="s">
        <v>909</v>
      </c>
      <c r="F40" s="47" t="s">
        <v>140</v>
      </c>
      <c r="G40" s="42"/>
      <c r="H40" s="42"/>
      <c r="I40" s="44">
        <v>49.5</v>
      </c>
      <c r="J40" s="44">
        <f t="shared" si="17"/>
        <v>49.5</v>
      </c>
      <c r="K40" s="42">
        <v>12000</v>
      </c>
      <c r="L40" s="42">
        <f t="shared" si="1"/>
        <v>594000</v>
      </c>
      <c r="M40" s="42"/>
      <c r="N40" s="42"/>
      <c r="O40" s="42"/>
      <c r="P40" s="45"/>
      <c r="Q40" s="42"/>
      <c r="R40" s="100"/>
      <c r="S40" s="42"/>
      <c r="T40" s="12">
        <f t="shared" si="18"/>
        <v>0</v>
      </c>
      <c r="U40" s="45"/>
      <c r="V40" s="12">
        <f t="shared" si="21"/>
        <v>0</v>
      </c>
      <c r="W40" s="12">
        <f t="shared" si="19"/>
        <v>0</v>
      </c>
      <c r="X40" s="116"/>
      <c r="Y40" s="117">
        <f t="shared" si="20"/>
        <v>594000</v>
      </c>
      <c r="Z40" s="12"/>
      <c r="AA40" s="12">
        <f t="shared" si="5"/>
        <v>594000</v>
      </c>
      <c r="AB40" s="12">
        <v>0.3</v>
      </c>
      <c r="AC40" s="12">
        <f t="shared" si="6"/>
        <v>1782</v>
      </c>
      <c r="AD40" s="42"/>
      <c r="AE40" s="12"/>
    </row>
    <row r="41" spans="1:31" s="46" customFormat="1" ht="21">
      <c r="A41" s="42"/>
      <c r="B41" s="42"/>
      <c r="C41" s="45"/>
      <c r="D41" s="45"/>
      <c r="E41" s="45"/>
      <c r="F41" s="47"/>
      <c r="G41" s="42"/>
      <c r="H41" s="42"/>
      <c r="I41" s="44"/>
      <c r="J41" s="44">
        <f t="shared" si="17"/>
        <v>0</v>
      </c>
      <c r="K41" s="42"/>
      <c r="L41" s="42">
        <f t="shared" si="1"/>
        <v>0</v>
      </c>
      <c r="M41" s="42"/>
      <c r="N41" s="42"/>
      <c r="O41" s="42"/>
      <c r="P41" s="31"/>
      <c r="Q41" s="42"/>
      <c r="R41" s="42"/>
      <c r="S41" s="42"/>
      <c r="T41" s="12">
        <f t="shared" si="18"/>
        <v>0</v>
      </c>
      <c r="U41" s="45"/>
      <c r="V41" s="12">
        <f t="shared" si="21"/>
        <v>0</v>
      </c>
      <c r="W41" s="12">
        <f t="shared" si="19"/>
        <v>0</v>
      </c>
      <c r="X41" s="116"/>
      <c r="Y41" s="117">
        <f t="shared" si="20"/>
        <v>0</v>
      </c>
      <c r="Z41" s="12"/>
      <c r="AA41" s="12">
        <f t="shared" si="5"/>
        <v>0</v>
      </c>
      <c r="AB41" s="12"/>
      <c r="AC41" s="12">
        <f t="shared" si="6"/>
        <v>0</v>
      </c>
      <c r="AD41" s="42"/>
      <c r="AE41" s="12"/>
    </row>
    <row r="42" spans="1:31" s="46" customFormat="1" ht="21">
      <c r="A42" s="42" t="s">
        <v>0</v>
      </c>
      <c r="B42" s="42" t="s">
        <v>1</v>
      </c>
      <c r="C42" s="45" t="s">
        <v>944</v>
      </c>
      <c r="D42" s="45" t="s">
        <v>565</v>
      </c>
      <c r="E42" s="30" t="s">
        <v>908</v>
      </c>
      <c r="F42" s="47" t="s">
        <v>177</v>
      </c>
      <c r="G42" s="42"/>
      <c r="H42" s="42"/>
      <c r="I42" s="44">
        <v>45</v>
      </c>
      <c r="J42" s="44">
        <f aca="true" t="shared" si="22" ref="J42:J62">+I42+(H42*100)+(G42*400)</f>
        <v>45</v>
      </c>
      <c r="K42" s="42">
        <v>15000</v>
      </c>
      <c r="L42" s="42">
        <f t="shared" si="1"/>
        <v>675000</v>
      </c>
      <c r="M42" s="42"/>
      <c r="N42" s="42"/>
      <c r="O42" s="100"/>
      <c r="P42" s="45"/>
      <c r="Q42" s="100"/>
      <c r="R42" s="100"/>
      <c r="S42" s="42"/>
      <c r="T42" s="12">
        <f aca="true" t="shared" si="23" ref="T42:T62">+Q42*S42</f>
        <v>0</v>
      </c>
      <c r="U42" s="45"/>
      <c r="V42" s="12">
        <f t="shared" si="21"/>
        <v>0</v>
      </c>
      <c r="W42" s="12">
        <f aca="true" t="shared" si="24" ref="W42:W62">+T42-V42</f>
        <v>0</v>
      </c>
      <c r="X42" s="116"/>
      <c r="Y42" s="117">
        <f t="shared" si="20"/>
        <v>675000</v>
      </c>
      <c r="Z42" s="12">
        <f>+Y42</f>
        <v>675000</v>
      </c>
      <c r="AA42" s="12">
        <f t="shared" si="5"/>
        <v>0</v>
      </c>
      <c r="AB42" s="12"/>
      <c r="AC42" s="12">
        <f t="shared" si="6"/>
        <v>0</v>
      </c>
      <c r="AD42" s="42"/>
      <c r="AE42" s="12"/>
    </row>
    <row r="43" spans="1:31" s="46" customFormat="1" ht="21">
      <c r="A43" s="42" t="s">
        <v>0</v>
      </c>
      <c r="B43" s="42" t="s">
        <v>1</v>
      </c>
      <c r="C43" s="45" t="s">
        <v>945</v>
      </c>
      <c r="D43" s="45" t="s">
        <v>566</v>
      </c>
      <c r="E43" s="30" t="s">
        <v>908</v>
      </c>
      <c r="F43" s="47" t="s">
        <v>177</v>
      </c>
      <c r="G43" s="42"/>
      <c r="H43" s="42"/>
      <c r="I43" s="44">
        <v>45</v>
      </c>
      <c r="J43" s="44">
        <f t="shared" si="22"/>
        <v>45</v>
      </c>
      <c r="K43" s="42">
        <v>15000</v>
      </c>
      <c r="L43" s="42">
        <f t="shared" si="1"/>
        <v>675000</v>
      </c>
      <c r="M43" s="42"/>
      <c r="N43" s="42"/>
      <c r="O43" s="100"/>
      <c r="P43" s="45"/>
      <c r="Q43" s="100"/>
      <c r="R43" s="100"/>
      <c r="S43" s="42"/>
      <c r="T43" s="12">
        <f t="shared" si="23"/>
        <v>0</v>
      </c>
      <c r="U43" s="45"/>
      <c r="V43" s="12">
        <f t="shared" si="21"/>
        <v>0</v>
      </c>
      <c r="W43" s="12">
        <f t="shared" si="24"/>
        <v>0</v>
      </c>
      <c r="X43" s="116"/>
      <c r="Y43" s="117">
        <f t="shared" si="20"/>
        <v>675000</v>
      </c>
      <c r="Z43" s="12">
        <f>+Y43</f>
        <v>675000</v>
      </c>
      <c r="AA43" s="12">
        <f t="shared" si="5"/>
        <v>0</v>
      </c>
      <c r="AB43" s="12"/>
      <c r="AC43" s="12">
        <f t="shared" si="6"/>
        <v>0</v>
      </c>
      <c r="AD43" s="42"/>
      <c r="AE43" s="12"/>
    </row>
    <row r="44" spans="1:31" s="46" customFormat="1" ht="21">
      <c r="A44" s="42" t="s">
        <v>0</v>
      </c>
      <c r="B44" s="42" t="s">
        <v>1</v>
      </c>
      <c r="C44" s="45" t="s">
        <v>946</v>
      </c>
      <c r="D44" s="45" t="s">
        <v>567</v>
      </c>
      <c r="E44" s="30" t="s">
        <v>908</v>
      </c>
      <c r="F44" s="47" t="s">
        <v>177</v>
      </c>
      <c r="G44" s="42"/>
      <c r="H44" s="42"/>
      <c r="I44" s="44">
        <v>45</v>
      </c>
      <c r="J44" s="44">
        <f t="shared" si="22"/>
        <v>45</v>
      </c>
      <c r="K44" s="42">
        <v>15000</v>
      </c>
      <c r="L44" s="42">
        <f t="shared" si="1"/>
        <v>675000</v>
      </c>
      <c r="M44" s="42"/>
      <c r="N44" s="42"/>
      <c r="O44" s="42"/>
      <c r="P44" s="45"/>
      <c r="Q44" s="42"/>
      <c r="R44" s="100"/>
      <c r="S44" s="42"/>
      <c r="T44" s="12">
        <f t="shared" si="23"/>
        <v>0</v>
      </c>
      <c r="U44" s="45"/>
      <c r="V44" s="12">
        <f t="shared" si="21"/>
        <v>0</v>
      </c>
      <c r="W44" s="12">
        <f t="shared" si="24"/>
        <v>0</v>
      </c>
      <c r="X44" s="116"/>
      <c r="Y44" s="117">
        <f t="shared" si="20"/>
        <v>675000</v>
      </c>
      <c r="Z44" s="12">
        <f>+Y44</f>
        <v>675000</v>
      </c>
      <c r="AA44" s="12">
        <f t="shared" si="5"/>
        <v>0</v>
      </c>
      <c r="AB44" s="12"/>
      <c r="AC44" s="12">
        <f t="shared" si="6"/>
        <v>0</v>
      </c>
      <c r="AD44" s="42"/>
      <c r="AE44" s="12"/>
    </row>
    <row r="45" spans="1:31" s="46" customFormat="1" ht="21">
      <c r="A45" s="42"/>
      <c r="B45" s="42"/>
      <c r="C45" s="45"/>
      <c r="D45" s="45"/>
      <c r="E45" s="45"/>
      <c r="F45" s="47"/>
      <c r="G45" s="42"/>
      <c r="H45" s="42"/>
      <c r="I45" s="44"/>
      <c r="J45" s="44">
        <f t="shared" si="22"/>
        <v>0</v>
      </c>
      <c r="K45" s="42"/>
      <c r="L45" s="42">
        <f t="shared" si="1"/>
        <v>0</v>
      </c>
      <c r="M45" s="42"/>
      <c r="N45" s="42"/>
      <c r="O45" s="42"/>
      <c r="P45" s="31"/>
      <c r="Q45" s="42"/>
      <c r="R45" s="42"/>
      <c r="S45" s="42"/>
      <c r="T45" s="12">
        <f t="shared" si="23"/>
        <v>0</v>
      </c>
      <c r="U45" s="45"/>
      <c r="V45" s="12">
        <f t="shared" si="21"/>
        <v>0</v>
      </c>
      <c r="W45" s="12">
        <f t="shared" si="24"/>
        <v>0</v>
      </c>
      <c r="X45" s="116"/>
      <c r="Y45" s="117">
        <f t="shared" si="20"/>
        <v>0</v>
      </c>
      <c r="Z45" s="12"/>
      <c r="AA45" s="12">
        <f t="shared" si="5"/>
        <v>0</v>
      </c>
      <c r="AB45" s="12"/>
      <c r="AC45" s="12">
        <f t="shared" si="6"/>
        <v>0</v>
      </c>
      <c r="AD45" s="42"/>
      <c r="AE45" s="12"/>
    </row>
    <row r="46" spans="1:31" s="46" customFormat="1" ht="21">
      <c r="A46" s="42" t="s">
        <v>0</v>
      </c>
      <c r="B46" s="42" t="s">
        <v>1</v>
      </c>
      <c r="C46" s="45" t="s">
        <v>947</v>
      </c>
      <c r="D46" s="45" t="s">
        <v>568</v>
      </c>
      <c r="E46" s="29" t="s">
        <v>907</v>
      </c>
      <c r="F46" s="47" t="s">
        <v>137</v>
      </c>
      <c r="G46" s="42"/>
      <c r="H46" s="42"/>
      <c r="I46" s="44">
        <v>27.3</v>
      </c>
      <c r="J46" s="44">
        <f t="shared" si="22"/>
        <v>27.3</v>
      </c>
      <c r="K46" s="42">
        <v>46500</v>
      </c>
      <c r="L46" s="42">
        <f t="shared" si="1"/>
        <v>1269450</v>
      </c>
      <c r="M46" s="42"/>
      <c r="N46" s="42" t="s">
        <v>117</v>
      </c>
      <c r="O46" s="104" t="s">
        <v>446</v>
      </c>
      <c r="P46" s="45">
        <v>2</v>
      </c>
      <c r="Q46" s="104">
        <v>72</v>
      </c>
      <c r="R46" s="100"/>
      <c r="S46" s="42">
        <v>2500</v>
      </c>
      <c r="T46" s="12">
        <f t="shared" si="23"/>
        <v>180000</v>
      </c>
      <c r="U46" s="102" t="s">
        <v>83</v>
      </c>
      <c r="V46" s="12">
        <f>+T46*0.18</f>
        <v>32400</v>
      </c>
      <c r="W46" s="12">
        <f t="shared" si="24"/>
        <v>147600</v>
      </c>
      <c r="X46" s="116"/>
      <c r="Y46" s="117">
        <f t="shared" si="20"/>
        <v>1417050</v>
      </c>
      <c r="Z46" s="12"/>
      <c r="AA46" s="12">
        <f t="shared" si="5"/>
        <v>1417050</v>
      </c>
      <c r="AB46" s="12">
        <v>0.02</v>
      </c>
      <c r="AC46" s="12">
        <f t="shared" si="6"/>
        <v>283.41</v>
      </c>
      <c r="AD46" s="42"/>
      <c r="AE46" s="12"/>
    </row>
    <row r="47" spans="1:31" s="46" customFormat="1" ht="21">
      <c r="A47" s="42" t="s">
        <v>0</v>
      </c>
      <c r="B47" s="42" t="s">
        <v>1</v>
      </c>
      <c r="C47" s="45" t="s">
        <v>948</v>
      </c>
      <c r="D47" s="45" t="s">
        <v>569</v>
      </c>
      <c r="E47" s="29" t="s">
        <v>907</v>
      </c>
      <c r="F47" s="47" t="s">
        <v>177</v>
      </c>
      <c r="G47" s="42"/>
      <c r="H47" s="42"/>
      <c r="I47" s="44">
        <v>86.9</v>
      </c>
      <c r="J47" s="44">
        <f t="shared" si="22"/>
        <v>86.9</v>
      </c>
      <c r="K47" s="42">
        <v>10000</v>
      </c>
      <c r="L47" s="42">
        <f t="shared" si="1"/>
        <v>869000</v>
      </c>
      <c r="M47" s="42"/>
      <c r="N47" s="42"/>
      <c r="O47" s="100"/>
      <c r="P47" s="31"/>
      <c r="Q47" s="100"/>
      <c r="R47" s="100"/>
      <c r="S47" s="42"/>
      <c r="T47" s="12">
        <f t="shared" si="23"/>
        <v>0</v>
      </c>
      <c r="U47" s="45"/>
      <c r="V47" s="12">
        <f>+T47*0</f>
        <v>0</v>
      </c>
      <c r="W47" s="12">
        <f t="shared" si="24"/>
        <v>0</v>
      </c>
      <c r="X47" s="116"/>
      <c r="Y47" s="117">
        <f t="shared" si="20"/>
        <v>869000</v>
      </c>
      <c r="Z47" s="12">
        <f>+Y47</f>
        <v>869000</v>
      </c>
      <c r="AA47" s="12">
        <f t="shared" si="5"/>
        <v>0</v>
      </c>
      <c r="AB47" s="12"/>
      <c r="AC47" s="12">
        <f t="shared" si="6"/>
        <v>0</v>
      </c>
      <c r="AD47" s="42"/>
      <c r="AE47" s="12"/>
    </row>
    <row r="48" spans="1:31" s="46" customFormat="1" ht="21">
      <c r="A48" s="42"/>
      <c r="B48" s="42"/>
      <c r="C48" s="45"/>
      <c r="D48" s="45"/>
      <c r="E48" s="45"/>
      <c r="F48" s="47"/>
      <c r="G48" s="42"/>
      <c r="H48" s="42"/>
      <c r="I48" s="44"/>
      <c r="J48" s="44">
        <f t="shared" si="22"/>
        <v>0</v>
      </c>
      <c r="K48" s="42"/>
      <c r="L48" s="42">
        <f t="shared" si="1"/>
        <v>0</v>
      </c>
      <c r="M48" s="42"/>
      <c r="N48" s="42"/>
      <c r="O48" s="42"/>
      <c r="P48" s="31"/>
      <c r="Q48" s="42"/>
      <c r="R48" s="42"/>
      <c r="S48" s="42"/>
      <c r="T48" s="12">
        <f t="shared" si="23"/>
        <v>0</v>
      </c>
      <c r="U48" s="45"/>
      <c r="V48" s="12">
        <f>+T48*0</f>
        <v>0</v>
      </c>
      <c r="W48" s="12">
        <f t="shared" si="24"/>
        <v>0</v>
      </c>
      <c r="X48" s="116"/>
      <c r="Y48" s="117">
        <f t="shared" si="20"/>
        <v>0</v>
      </c>
      <c r="Z48" s="12"/>
      <c r="AA48" s="12">
        <f t="shared" si="5"/>
        <v>0</v>
      </c>
      <c r="AB48" s="12"/>
      <c r="AC48" s="12">
        <f t="shared" si="6"/>
        <v>0</v>
      </c>
      <c r="AD48" s="42"/>
      <c r="AE48" s="12"/>
    </row>
    <row r="49" spans="1:31" s="46" customFormat="1" ht="24" customHeight="1">
      <c r="A49" s="42"/>
      <c r="B49" s="42"/>
      <c r="C49" s="45"/>
      <c r="D49" s="45"/>
      <c r="E49" s="45"/>
      <c r="F49" s="47"/>
      <c r="G49" s="42"/>
      <c r="H49" s="42"/>
      <c r="I49" s="44"/>
      <c r="J49" s="44">
        <f t="shared" si="22"/>
        <v>0</v>
      </c>
      <c r="K49" s="42"/>
      <c r="L49" s="42">
        <f t="shared" si="1"/>
        <v>0</v>
      </c>
      <c r="M49" s="42"/>
      <c r="N49" s="42"/>
      <c r="O49" s="42"/>
      <c r="P49" s="31"/>
      <c r="Q49" s="42"/>
      <c r="R49" s="42"/>
      <c r="S49" s="42"/>
      <c r="T49" s="12">
        <f t="shared" si="23"/>
        <v>0</v>
      </c>
      <c r="U49" s="45"/>
      <c r="V49" s="12">
        <f>+T49*0</f>
        <v>0</v>
      </c>
      <c r="W49" s="12">
        <f t="shared" si="24"/>
        <v>0</v>
      </c>
      <c r="X49" s="116"/>
      <c r="Y49" s="117">
        <f t="shared" si="20"/>
        <v>0</v>
      </c>
      <c r="Z49" s="12"/>
      <c r="AA49" s="12">
        <f t="shared" si="5"/>
        <v>0</v>
      </c>
      <c r="AB49" s="12"/>
      <c r="AC49" s="12">
        <f t="shared" si="6"/>
        <v>0</v>
      </c>
      <c r="AD49" s="42"/>
      <c r="AE49" s="12"/>
    </row>
    <row r="50" spans="1:31" s="46" customFormat="1" ht="21">
      <c r="A50" s="42" t="s">
        <v>0</v>
      </c>
      <c r="B50" s="42" t="s">
        <v>1</v>
      </c>
      <c r="C50" s="45" t="s">
        <v>949</v>
      </c>
      <c r="D50" s="45" t="s">
        <v>570</v>
      </c>
      <c r="E50" s="30" t="s">
        <v>908</v>
      </c>
      <c r="F50" s="47" t="s">
        <v>143</v>
      </c>
      <c r="G50" s="42"/>
      <c r="H50" s="42"/>
      <c r="I50" s="44">
        <v>15.2</v>
      </c>
      <c r="J50" s="44">
        <f t="shared" si="22"/>
        <v>15.2</v>
      </c>
      <c r="K50" s="42">
        <v>40000</v>
      </c>
      <c r="L50" s="42">
        <f t="shared" si="1"/>
        <v>608000</v>
      </c>
      <c r="M50" s="42"/>
      <c r="N50" s="42" t="s">
        <v>60</v>
      </c>
      <c r="O50" s="101" t="s">
        <v>446</v>
      </c>
      <c r="P50" s="45">
        <v>3</v>
      </c>
      <c r="Q50" s="100">
        <v>80</v>
      </c>
      <c r="R50" s="100"/>
      <c r="S50" s="42">
        <v>7550</v>
      </c>
      <c r="T50" s="12">
        <f t="shared" si="23"/>
        <v>604000</v>
      </c>
      <c r="U50" s="102" t="s">
        <v>84</v>
      </c>
      <c r="V50" s="12">
        <f>+T50*0.2</f>
        <v>120800</v>
      </c>
      <c r="W50" s="12">
        <f t="shared" si="24"/>
        <v>483200</v>
      </c>
      <c r="X50" s="116"/>
      <c r="Y50" s="117">
        <f t="shared" si="20"/>
        <v>1091200</v>
      </c>
      <c r="Z50" s="12"/>
      <c r="AA50" s="12">
        <f t="shared" si="5"/>
        <v>1091200</v>
      </c>
      <c r="AB50" s="12">
        <v>0.3</v>
      </c>
      <c r="AC50" s="12">
        <f t="shared" si="6"/>
        <v>3273.6</v>
      </c>
      <c r="AD50" s="42"/>
      <c r="AE50" s="12"/>
    </row>
    <row r="51" spans="1:31" s="46" customFormat="1" ht="21">
      <c r="A51" s="42" t="s">
        <v>0</v>
      </c>
      <c r="B51" s="42" t="s">
        <v>1</v>
      </c>
      <c r="C51" s="45" t="s">
        <v>950</v>
      </c>
      <c r="D51" s="45" t="s">
        <v>571</v>
      </c>
      <c r="E51" s="10" t="s">
        <v>909</v>
      </c>
      <c r="F51" s="47" t="s">
        <v>137</v>
      </c>
      <c r="G51" s="42"/>
      <c r="H51" s="42"/>
      <c r="I51" s="44">
        <v>30.2</v>
      </c>
      <c r="J51" s="44">
        <f t="shared" si="22"/>
        <v>30.2</v>
      </c>
      <c r="K51" s="42">
        <v>14500</v>
      </c>
      <c r="L51" s="42">
        <f t="shared" si="1"/>
        <v>437900</v>
      </c>
      <c r="M51" s="42"/>
      <c r="N51" s="42" t="s">
        <v>62</v>
      </c>
      <c r="O51" s="101" t="s">
        <v>446</v>
      </c>
      <c r="P51" s="45">
        <v>2</v>
      </c>
      <c r="Q51" s="100">
        <v>58</v>
      </c>
      <c r="R51" s="100"/>
      <c r="S51" s="42">
        <v>6750</v>
      </c>
      <c r="T51" s="12">
        <f t="shared" si="23"/>
        <v>391500</v>
      </c>
      <c r="U51" s="45" t="s">
        <v>314</v>
      </c>
      <c r="V51" s="12">
        <f>+T51*0.1</f>
        <v>39150</v>
      </c>
      <c r="W51" s="12">
        <f t="shared" si="24"/>
        <v>352350</v>
      </c>
      <c r="X51" s="116"/>
      <c r="Y51" s="117">
        <f t="shared" si="20"/>
        <v>790250</v>
      </c>
      <c r="Z51" s="12"/>
      <c r="AA51" s="12">
        <f t="shared" si="5"/>
        <v>790250</v>
      </c>
      <c r="AB51" s="12">
        <v>0.02</v>
      </c>
      <c r="AC51" s="12">
        <f t="shared" si="6"/>
        <v>158.05</v>
      </c>
      <c r="AD51" s="42"/>
      <c r="AE51" s="12"/>
    </row>
    <row r="52" spans="1:31" s="46" customFormat="1" ht="21">
      <c r="A52" s="42" t="s">
        <v>0</v>
      </c>
      <c r="B52" s="42" t="s">
        <v>1</v>
      </c>
      <c r="C52" s="45" t="s">
        <v>951</v>
      </c>
      <c r="D52" s="51" t="s">
        <v>572</v>
      </c>
      <c r="E52" s="29" t="s">
        <v>907</v>
      </c>
      <c r="F52" s="47" t="s">
        <v>137</v>
      </c>
      <c r="G52" s="42"/>
      <c r="H52" s="42"/>
      <c r="I52" s="44">
        <v>20</v>
      </c>
      <c r="J52" s="44">
        <f t="shared" si="22"/>
        <v>20</v>
      </c>
      <c r="K52" s="42">
        <v>15000</v>
      </c>
      <c r="L52" s="42">
        <f t="shared" si="1"/>
        <v>300000</v>
      </c>
      <c r="M52" s="42"/>
      <c r="N52" s="42" t="s">
        <v>62</v>
      </c>
      <c r="O52" s="101" t="s">
        <v>446</v>
      </c>
      <c r="P52" s="45">
        <v>2</v>
      </c>
      <c r="Q52" s="100">
        <v>120</v>
      </c>
      <c r="R52" s="100"/>
      <c r="S52" s="42">
        <v>6750</v>
      </c>
      <c r="T52" s="12">
        <f t="shared" si="23"/>
        <v>810000</v>
      </c>
      <c r="U52" s="45" t="s">
        <v>321</v>
      </c>
      <c r="V52" s="12">
        <f>+T52*0.02</f>
        <v>16200</v>
      </c>
      <c r="W52" s="12">
        <f t="shared" si="24"/>
        <v>793800</v>
      </c>
      <c r="X52" s="116"/>
      <c r="Y52" s="117">
        <f t="shared" si="20"/>
        <v>1093800</v>
      </c>
      <c r="Z52" s="12"/>
      <c r="AA52" s="12">
        <f t="shared" si="5"/>
        <v>1093800</v>
      </c>
      <c r="AB52" s="12">
        <v>0.02</v>
      </c>
      <c r="AC52" s="12">
        <f t="shared" si="6"/>
        <v>218.76</v>
      </c>
      <c r="AD52" s="42"/>
      <c r="AE52" s="12"/>
    </row>
    <row r="53" spans="1:31" s="46" customFormat="1" ht="21">
      <c r="A53" s="42"/>
      <c r="B53" s="42"/>
      <c r="C53" s="45"/>
      <c r="D53" s="45"/>
      <c r="E53" s="45"/>
      <c r="F53" s="47"/>
      <c r="G53" s="42"/>
      <c r="H53" s="42"/>
      <c r="I53" s="44"/>
      <c r="J53" s="44">
        <f t="shared" si="22"/>
        <v>0</v>
      </c>
      <c r="K53" s="42"/>
      <c r="L53" s="42">
        <f t="shared" si="1"/>
        <v>0</v>
      </c>
      <c r="M53" s="42"/>
      <c r="N53" s="42"/>
      <c r="O53" s="42"/>
      <c r="P53" s="31"/>
      <c r="Q53" s="42"/>
      <c r="R53" s="42"/>
      <c r="S53" s="42"/>
      <c r="T53" s="12">
        <f t="shared" si="23"/>
        <v>0</v>
      </c>
      <c r="U53" s="45"/>
      <c r="V53" s="12">
        <f>+T53*0</f>
        <v>0</v>
      </c>
      <c r="W53" s="12">
        <f t="shared" si="24"/>
        <v>0</v>
      </c>
      <c r="X53" s="116"/>
      <c r="Y53" s="117">
        <f t="shared" si="20"/>
        <v>0</v>
      </c>
      <c r="Z53" s="12"/>
      <c r="AA53" s="12">
        <f t="shared" si="5"/>
        <v>0</v>
      </c>
      <c r="AB53" s="12"/>
      <c r="AC53" s="12">
        <f t="shared" si="6"/>
        <v>0</v>
      </c>
      <c r="AD53" s="42"/>
      <c r="AE53" s="12"/>
    </row>
    <row r="54" spans="1:31" s="46" customFormat="1" ht="21">
      <c r="A54" s="42" t="s">
        <v>0</v>
      </c>
      <c r="B54" s="42" t="s">
        <v>1</v>
      </c>
      <c r="C54" s="45" t="s">
        <v>952</v>
      </c>
      <c r="D54" s="51" t="s">
        <v>573</v>
      </c>
      <c r="E54" s="29" t="s">
        <v>907</v>
      </c>
      <c r="F54" s="47" t="s">
        <v>137</v>
      </c>
      <c r="G54" s="42"/>
      <c r="H54" s="42"/>
      <c r="I54" s="44">
        <v>40.7</v>
      </c>
      <c r="J54" s="44">
        <f t="shared" si="22"/>
        <v>40.7</v>
      </c>
      <c r="K54" s="42">
        <v>15000</v>
      </c>
      <c r="L54" s="42">
        <f t="shared" si="1"/>
        <v>610500</v>
      </c>
      <c r="M54" s="42"/>
      <c r="N54" s="42" t="s">
        <v>184</v>
      </c>
      <c r="O54" s="101" t="s">
        <v>446</v>
      </c>
      <c r="P54" s="45">
        <v>2</v>
      </c>
      <c r="Q54" s="100">
        <f>64*2</f>
        <v>128</v>
      </c>
      <c r="R54" s="100"/>
      <c r="S54" s="42">
        <v>7550</v>
      </c>
      <c r="T54" s="12">
        <f t="shared" si="23"/>
        <v>966400</v>
      </c>
      <c r="U54" s="102" t="s">
        <v>87</v>
      </c>
      <c r="V54" s="12">
        <f>+T54*0.28</f>
        <v>270592</v>
      </c>
      <c r="W54" s="12">
        <f t="shared" si="24"/>
        <v>695808</v>
      </c>
      <c r="X54" s="116"/>
      <c r="Y54" s="117">
        <f t="shared" si="20"/>
        <v>1306308</v>
      </c>
      <c r="Z54" s="12"/>
      <c r="AA54" s="12">
        <f t="shared" si="5"/>
        <v>1306308</v>
      </c>
      <c r="AB54" s="12">
        <v>0.02</v>
      </c>
      <c r="AC54" s="12">
        <f t="shared" si="6"/>
        <v>261.2616</v>
      </c>
      <c r="AD54" s="42"/>
      <c r="AE54" s="12"/>
    </row>
    <row r="55" spans="1:31" s="46" customFormat="1" ht="21">
      <c r="A55" s="42" t="s">
        <v>0</v>
      </c>
      <c r="B55" s="42" t="s">
        <v>1</v>
      </c>
      <c r="C55" s="45" t="s">
        <v>953</v>
      </c>
      <c r="D55" s="45" t="s">
        <v>574</v>
      </c>
      <c r="E55" s="29" t="s">
        <v>907</v>
      </c>
      <c r="F55" s="47" t="s">
        <v>137</v>
      </c>
      <c r="G55" s="42"/>
      <c r="H55" s="42"/>
      <c r="I55" s="44">
        <v>21.7</v>
      </c>
      <c r="J55" s="44">
        <f t="shared" si="22"/>
        <v>21.7</v>
      </c>
      <c r="K55" s="42">
        <v>50000</v>
      </c>
      <c r="L55" s="42">
        <f t="shared" si="1"/>
        <v>1085000</v>
      </c>
      <c r="M55" s="42"/>
      <c r="N55" s="42" t="s">
        <v>60</v>
      </c>
      <c r="O55" s="101" t="s">
        <v>446</v>
      </c>
      <c r="P55" s="45">
        <v>2</v>
      </c>
      <c r="Q55" s="100">
        <v>228</v>
      </c>
      <c r="R55" s="100"/>
      <c r="S55" s="42">
        <v>7550</v>
      </c>
      <c r="T55" s="12">
        <f t="shared" si="23"/>
        <v>1721400</v>
      </c>
      <c r="U55" s="102" t="s">
        <v>84</v>
      </c>
      <c r="V55" s="12">
        <f>+T55*0.2</f>
        <v>344280</v>
      </c>
      <c r="W55" s="12">
        <f t="shared" si="24"/>
        <v>1377120</v>
      </c>
      <c r="X55" s="116"/>
      <c r="Y55" s="117">
        <f t="shared" si="20"/>
        <v>2462120</v>
      </c>
      <c r="Z55" s="12">
        <f>+Y55</f>
        <v>2462120</v>
      </c>
      <c r="AA55" s="12">
        <f t="shared" si="5"/>
        <v>0</v>
      </c>
      <c r="AB55" s="12"/>
      <c r="AC55" s="12">
        <f t="shared" si="6"/>
        <v>0</v>
      </c>
      <c r="AD55" s="42" t="s">
        <v>906</v>
      </c>
      <c r="AE55" s="12"/>
    </row>
    <row r="56" spans="1:31" s="46" customFormat="1" ht="21">
      <c r="A56" s="42" t="s">
        <v>0</v>
      </c>
      <c r="B56" s="42" t="s">
        <v>1</v>
      </c>
      <c r="C56" s="45" t="s">
        <v>954</v>
      </c>
      <c r="D56" s="45" t="s">
        <v>575</v>
      </c>
      <c r="E56" s="29" t="s">
        <v>907</v>
      </c>
      <c r="F56" s="47" t="s">
        <v>140</v>
      </c>
      <c r="G56" s="42"/>
      <c r="H56" s="42"/>
      <c r="I56" s="44">
        <v>69</v>
      </c>
      <c r="J56" s="44">
        <f t="shared" si="22"/>
        <v>69</v>
      </c>
      <c r="K56" s="42">
        <v>10000</v>
      </c>
      <c r="L56" s="42">
        <f t="shared" si="1"/>
        <v>690000</v>
      </c>
      <c r="M56" s="42"/>
      <c r="N56" s="42"/>
      <c r="O56" s="42"/>
      <c r="P56" s="45"/>
      <c r="Q56" s="42"/>
      <c r="R56" s="100"/>
      <c r="S56" s="42"/>
      <c r="T56" s="12">
        <f t="shared" si="23"/>
        <v>0</v>
      </c>
      <c r="U56" s="45"/>
      <c r="V56" s="12">
        <f>+T56*0</f>
        <v>0</v>
      </c>
      <c r="W56" s="12">
        <f t="shared" si="24"/>
        <v>0</v>
      </c>
      <c r="X56" s="116"/>
      <c r="Y56" s="117">
        <f t="shared" si="20"/>
        <v>690000</v>
      </c>
      <c r="Z56" s="12"/>
      <c r="AA56" s="12">
        <f t="shared" si="5"/>
        <v>690000</v>
      </c>
      <c r="AB56" s="12">
        <v>0.3</v>
      </c>
      <c r="AC56" s="12">
        <f t="shared" si="6"/>
        <v>2070</v>
      </c>
      <c r="AD56" s="42"/>
      <c r="AE56" s="12"/>
    </row>
    <row r="57" spans="1:31" s="46" customFormat="1" ht="21">
      <c r="A57" s="42" t="s">
        <v>0</v>
      </c>
      <c r="B57" s="42" t="s">
        <v>1</v>
      </c>
      <c r="C57" s="45" t="s">
        <v>955</v>
      </c>
      <c r="D57" s="45" t="s">
        <v>576</v>
      </c>
      <c r="E57" s="29" t="s">
        <v>907</v>
      </c>
      <c r="F57" s="47" t="s">
        <v>140</v>
      </c>
      <c r="G57" s="42"/>
      <c r="H57" s="42"/>
      <c r="I57" s="44">
        <v>70.1</v>
      </c>
      <c r="J57" s="44">
        <f t="shared" si="22"/>
        <v>70.1</v>
      </c>
      <c r="K57" s="42">
        <v>12000</v>
      </c>
      <c r="L57" s="42">
        <f t="shared" si="1"/>
        <v>841199.9999999999</v>
      </c>
      <c r="M57" s="42"/>
      <c r="N57" s="42"/>
      <c r="O57" s="42"/>
      <c r="P57" s="45"/>
      <c r="Q57" s="42"/>
      <c r="R57" s="100"/>
      <c r="S57" s="42"/>
      <c r="T57" s="12">
        <f t="shared" si="23"/>
        <v>0</v>
      </c>
      <c r="U57" s="45"/>
      <c r="V57" s="12">
        <f>+T57*0</f>
        <v>0</v>
      </c>
      <c r="W57" s="12">
        <f t="shared" si="24"/>
        <v>0</v>
      </c>
      <c r="X57" s="116"/>
      <c r="Y57" s="117">
        <f t="shared" si="20"/>
        <v>841199.9999999999</v>
      </c>
      <c r="Z57" s="12"/>
      <c r="AA57" s="12">
        <f t="shared" si="5"/>
        <v>841199.9999999999</v>
      </c>
      <c r="AB57" s="12">
        <v>0.3</v>
      </c>
      <c r="AC57" s="12">
        <f t="shared" si="6"/>
        <v>2523.5999999999995</v>
      </c>
      <c r="AD57" s="42"/>
      <c r="AE57" s="12"/>
    </row>
    <row r="58" spans="1:31" s="46" customFormat="1" ht="21">
      <c r="A58" s="42"/>
      <c r="B58" s="42"/>
      <c r="C58" s="45"/>
      <c r="D58" s="45"/>
      <c r="E58" s="45"/>
      <c r="F58" s="47"/>
      <c r="G58" s="42"/>
      <c r="H58" s="42"/>
      <c r="I58" s="44"/>
      <c r="J58" s="44">
        <f t="shared" si="22"/>
        <v>0</v>
      </c>
      <c r="K58" s="42"/>
      <c r="L58" s="42">
        <f t="shared" si="1"/>
        <v>0</v>
      </c>
      <c r="M58" s="42"/>
      <c r="N58" s="42"/>
      <c r="O58" s="42"/>
      <c r="P58" s="31"/>
      <c r="Q58" s="42"/>
      <c r="R58" s="42"/>
      <c r="S58" s="42"/>
      <c r="T58" s="12">
        <f t="shared" si="23"/>
        <v>0</v>
      </c>
      <c r="U58" s="45"/>
      <c r="V58" s="12">
        <f>+T58*0</f>
        <v>0</v>
      </c>
      <c r="W58" s="12">
        <f t="shared" si="24"/>
        <v>0</v>
      </c>
      <c r="X58" s="116"/>
      <c r="Y58" s="117">
        <f t="shared" si="20"/>
        <v>0</v>
      </c>
      <c r="Z58" s="12"/>
      <c r="AA58" s="12">
        <f t="shared" si="5"/>
        <v>0</v>
      </c>
      <c r="AB58" s="12"/>
      <c r="AC58" s="12">
        <f t="shared" si="6"/>
        <v>0</v>
      </c>
      <c r="AD58" s="42"/>
      <c r="AE58" s="12"/>
    </row>
    <row r="59" spans="1:31" s="46" customFormat="1" ht="21">
      <c r="A59" s="42" t="s">
        <v>0</v>
      </c>
      <c r="B59" s="42" t="s">
        <v>1</v>
      </c>
      <c r="C59" s="45" t="s">
        <v>956</v>
      </c>
      <c r="D59" s="45" t="s">
        <v>577</v>
      </c>
      <c r="E59" s="29" t="s">
        <v>907</v>
      </c>
      <c r="F59" s="47" t="s">
        <v>177</v>
      </c>
      <c r="G59" s="42"/>
      <c r="H59" s="42"/>
      <c r="I59" s="44">
        <v>50.5</v>
      </c>
      <c r="J59" s="44">
        <f t="shared" si="22"/>
        <v>50.5</v>
      </c>
      <c r="K59" s="42">
        <v>15000</v>
      </c>
      <c r="L59" s="42">
        <f t="shared" si="1"/>
        <v>757500</v>
      </c>
      <c r="M59" s="42"/>
      <c r="N59" s="42"/>
      <c r="O59" s="100"/>
      <c r="P59" s="31"/>
      <c r="Q59" s="100"/>
      <c r="R59" s="100"/>
      <c r="S59" s="42"/>
      <c r="T59" s="12">
        <f t="shared" si="23"/>
        <v>0</v>
      </c>
      <c r="U59" s="45"/>
      <c r="V59" s="12">
        <f>+T59*0</f>
        <v>0</v>
      </c>
      <c r="W59" s="12">
        <f t="shared" si="24"/>
        <v>0</v>
      </c>
      <c r="X59" s="116"/>
      <c r="Y59" s="117">
        <f t="shared" si="20"/>
        <v>757500</v>
      </c>
      <c r="Z59" s="12">
        <f>+Y59</f>
        <v>757500</v>
      </c>
      <c r="AA59" s="12">
        <f t="shared" si="5"/>
        <v>0</v>
      </c>
      <c r="AB59" s="12"/>
      <c r="AC59" s="12">
        <f t="shared" si="6"/>
        <v>0</v>
      </c>
      <c r="AD59" s="42"/>
      <c r="AE59" s="12"/>
    </row>
    <row r="60" spans="1:31" s="46" customFormat="1" ht="21">
      <c r="A60" s="42" t="s">
        <v>0</v>
      </c>
      <c r="B60" s="42" t="s">
        <v>1</v>
      </c>
      <c r="C60" s="45" t="s">
        <v>957</v>
      </c>
      <c r="D60" s="45" t="s">
        <v>578</v>
      </c>
      <c r="E60" s="29" t="s">
        <v>907</v>
      </c>
      <c r="F60" s="47" t="s">
        <v>177</v>
      </c>
      <c r="G60" s="42"/>
      <c r="H60" s="42"/>
      <c r="I60" s="44">
        <v>50.5</v>
      </c>
      <c r="J60" s="44">
        <f t="shared" si="22"/>
        <v>50.5</v>
      </c>
      <c r="K60" s="42">
        <v>15000</v>
      </c>
      <c r="L60" s="42">
        <f t="shared" si="1"/>
        <v>757500</v>
      </c>
      <c r="M60" s="42"/>
      <c r="N60" s="42"/>
      <c r="O60" s="100"/>
      <c r="P60" s="31"/>
      <c r="Q60" s="100"/>
      <c r="R60" s="100"/>
      <c r="S60" s="42"/>
      <c r="T60" s="12">
        <f t="shared" si="23"/>
        <v>0</v>
      </c>
      <c r="U60" s="45"/>
      <c r="V60" s="12">
        <f>+T60*0</f>
        <v>0</v>
      </c>
      <c r="W60" s="12">
        <f t="shared" si="24"/>
        <v>0</v>
      </c>
      <c r="X60" s="116"/>
      <c r="Y60" s="117">
        <f aca="true" t="shared" si="25" ref="Y60:Y75">+L60+W60</f>
        <v>757500</v>
      </c>
      <c r="Z60" s="12">
        <f>+Y60</f>
        <v>757500</v>
      </c>
      <c r="AA60" s="12">
        <f t="shared" si="5"/>
        <v>0</v>
      </c>
      <c r="AB60" s="12"/>
      <c r="AC60" s="12">
        <f t="shared" si="6"/>
        <v>0</v>
      </c>
      <c r="AD60" s="42"/>
      <c r="AE60" s="12"/>
    </row>
    <row r="61" spans="1:31" s="46" customFormat="1" ht="21">
      <c r="A61" s="42" t="s">
        <v>0</v>
      </c>
      <c r="B61" s="42" t="s">
        <v>1</v>
      </c>
      <c r="C61" s="45" t="s">
        <v>958</v>
      </c>
      <c r="D61" s="45" t="s">
        <v>579</v>
      </c>
      <c r="E61" s="29" t="s">
        <v>907</v>
      </c>
      <c r="F61" s="47" t="s">
        <v>143</v>
      </c>
      <c r="G61" s="42"/>
      <c r="H61" s="42"/>
      <c r="I61" s="44">
        <v>49.9</v>
      </c>
      <c r="J61" s="44">
        <f t="shared" si="22"/>
        <v>49.9</v>
      </c>
      <c r="K61" s="42">
        <v>15000</v>
      </c>
      <c r="L61" s="42">
        <f t="shared" si="1"/>
        <v>748500</v>
      </c>
      <c r="M61" s="42"/>
      <c r="N61" s="42" t="s">
        <v>64</v>
      </c>
      <c r="O61" s="101" t="s">
        <v>446</v>
      </c>
      <c r="P61" s="45">
        <v>3</v>
      </c>
      <c r="Q61" s="100">
        <v>32</v>
      </c>
      <c r="R61" s="100"/>
      <c r="S61" s="42">
        <v>6550</v>
      </c>
      <c r="T61" s="12">
        <f t="shared" si="23"/>
        <v>209600</v>
      </c>
      <c r="U61" s="45" t="s">
        <v>321</v>
      </c>
      <c r="V61" s="12">
        <f>+T61*0.02</f>
        <v>4192</v>
      </c>
      <c r="W61" s="12">
        <f t="shared" si="24"/>
        <v>205408</v>
      </c>
      <c r="X61" s="116"/>
      <c r="Y61" s="117">
        <f t="shared" si="25"/>
        <v>953908</v>
      </c>
      <c r="Z61" s="12"/>
      <c r="AA61" s="12">
        <f t="shared" si="5"/>
        <v>953908</v>
      </c>
      <c r="AB61" s="12">
        <v>0.3</v>
      </c>
      <c r="AC61" s="12">
        <f t="shared" si="6"/>
        <v>2861.7239999999997</v>
      </c>
      <c r="AD61" s="42"/>
      <c r="AE61" s="12"/>
    </row>
    <row r="62" spans="1:31" s="46" customFormat="1" ht="21">
      <c r="A62" s="42" t="s">
        <v>0</v>
      </c>
      <c r="B62" s="42" t="s">
        <v>1</v>
      </c>
      <c r="C62" s="45" t="s">
        <v>959</v>
      </c>
      <c r="D62" s="45" t="s">
        <v>580</v>
      </c>
      <c r="E62" s="29" t="s">
        <v>907</v>
      </c>
      <c r="F62" s="47" t="s">
        <v>140</v>
      </c>
      <c r="G62" s="42"/>
      <c r="H62" s="42"/>
      <c r="I62" s="44">
        <v>66.6</v>
      </c>
      <c r="J62" s="44">
        <f t="shared" si="22"/>
        <v>66.6</v>
      </c>
      <c r="K62" s="42">
        <v>6000</v>
      </c>
      <c r="L62" s="42">
        <f t="shared" si="1"/>
        <v>399599.99999999994</v>
      </c>
      <c r="M62" s="42"/>
      <c r="N62" s="42"/>
      <c r="O62" s="42"/>
      <c r="P62" s="45"/>
      <c r="Q62" s="42"/>
      <c r="R62" s="100"/>
      <c r="S62" s="42"/>
      <c r="T62" s="12">
        <f t="shared" si="23"/>
        <v>0</v>
      </c>
      <c r="U62" s="45"/>
      <c r="V62" s="12">
        <f>+T62*0</f>
        <v>0</v>
      </c>
      <c r="W62" s="12">
        <f t="shared" si="24"/>
        <v>0</v>
      </c>
      <c r="X62" s="116"/>
      <c r="Y62" s="117">
        <f t="shared" si="25"/>
        <v>399599.99999999994</v>
      </c>
      <c r="Z62" s="12"/>
      <c r="AA62" s="12">
        <f t="shared" si="5"/>
        <v>399599.99999999994</v>
      </c>
      <c r="AB62" s="12">
        <v>0.3</v>
      </c>
      <c r="AC62" s="12">
        <f t="shared" si="6"/>
        <v>1198.7999999999997</v>
      </c>
      <c r="AD62" s="42"/>
      <c r="AE62" s="12"/>
    </row>
    <row r="63" spans="1:31" s="46" customFormat="1" ht="18.75" customHeight="1">
      <c r="A63" s="42" t="s">
        <v>0</v>
      </c>
      <c r="B63" s="42" t="s">
        <v>1</v>
      </c>
      <c r="C63" s="45" t="s">
        <v>960</v>
      </c>
      <c r="D63" s="45" t="s">
        <v>581</v>
      </c>
      <c r="E63" s="30" t="s">
        <v>908</v>
      </c>
      <c r="F63" s="47" t="s">
        <v>143</v>
      </c>
      <c r="G63" s="42"/>
      <c r="H63" s="42"/>
      <c r="I63" s="44">
        <v>9.9</v>
      </c>
      <c r="J63" s="44">
        <f aca="true" t="shared" si="26" ref="J63:J77">+I63+(H63*100)+(G63*400)</f>
        <v>9.9</v>
      </c>
      <c r="K63" s="42">
        <v>18000</v>
      </c>
      <c r="L63" s="42">
        <f t="shared" si="1"/>
        <v>178200</v>
      </c>
      <c r="M63" s="42"/>
      <c r="N63" s="42" t="s">
        <v>60</v>
      </c>
      <c r="O63" s="101" t="s">
        <v>446</v>
      </c>
      <c r="P63" s="45" t="s">
        <v>143</v>
      </c>
      <c r="Q63" s="100">
        <v>144</v>
      </c>
      <c r="R63" s="100"/>
      <c r="S63" s="42">
        <v>7550</v>
      </c>
      <c r="T63" s="12">
        <f aca="true" t="shared" si="27" ref="T63:T77">+Q63*S63</f>
        <v>1087200</v>
      </c>
      <c r="U63" s="102" t="s">
        <v>84</v>
      </c>
      <c r="V63" s="12">
        <f>+T63*0.2</f>
        <v>217440</v>
      </c>
      <c r="W63" s="12">
        <f aca="true" t="shared" si="28" ref="W63:W77">+T63-V63</f>
        <v>869760</v>
      </c>
      <c r="X63" s="116"/>
      <c r="Y63" s="117">
        <f t="shared" si="25"/>
        <v>1047960</v>
      </c>
      <c r="Z63" s="12"/>
      <c r="AA63" s="12">
        <f t="shared" si="5"/>
        <v>1047960</v>
      </c>
      <c r="AB63" s="12">
        <v>0.3</v>
      </c>
      <c r="AC63" s="12">
        <f t="shared" si="6"/>
        <v>3143.88</v>
      </c>
      <c r="AD63" s="42"/>
      <c r="AE63" s="12"/>
    </row>
    <row r="64" spans="1:31" s="46" customFormat="1" ht="18.75" customHeight="1">
      <c r="A64" s="42" t="s">
        <v>0</v>
      </c>
      <c r="B64" s="42" t="s">
        <v>1</v>
      </c>
      <c r="C64" s="45" t="s">
        <v>961</v>
      </c>
      <c r="D64" s="45" t="s">
        <v>582</v>
      </c>
      <c r="E64" s="10" t="s">
        <v>909</v>
      </c>
      <c r="F64" s="47" t="s">
        <v>137</v>
      </c>
      <c r="G64" s="42"/>
      <c r="H64" s="42"/>
      <c r="I64" s="44">
        <v>34.6</v>
      </c>
      <c r="J64" s="44">
        <f t="shared" si="26"/>
        <v>34.6</v>
      </c>
      <c r="K64" s="42">
        <v>15000</v>
      </c>
      <c r="L64" s="42">
        <f t="shared" si="1"/>
        <v>519000</v>
      </c>
      <c r="M64" s="42"/>
      <c r="N64" s="42" t="s">
        <v>62</v>
      </c>
      <c r="O64" s="101" t="s">
        <v>446</v>
      </c>
      <c r="P64" s="45">
        <v>2</v>
      </c>
      <c r="Q64" s="100">
        <v>96</v>
      </c>
      <c r="R64" s="100"/>
      <c r="S64" s="42">
        <v>6750</v>
      </c>
      <c r="T64" s="12">
        <f t="shared" si="27"/>
        <v>648000</v>
      </c>
      <c r="U64" s="45" t="s">
        <v>73</v>
      </c>
      <c r="V64" s="12">
        <f>+T64*0.05</f>
        <v>32400</v>
      </c>
      <c r="W64" s="12">
        <f t="shared" si="28"/>
        <v>615600</v>
      </c>
      <c r="X64" s="116"/>
      <c r="Y64" s="117">
        <f t="shared" si="25"/>
        <v>1134600</v>
      </c>
      <c r="Z64" s="12"/>
      <c r="AA64" s="12">
        <f t="shared" si="5"/>
        <v>1134600</v>
      </c>
      <c r="AB64" s="12">
        <v>0.02</v>
      </c>
      <c r="AC64" s="12">
        <f t="shared" si="6"/>
        <v>226.92</v>
      </c>
      <c r="AD64" s="42"/>
      <c r="AE64" s="12"/>
    </row>
    <row r="65" spans="1:31" s="46" customFormat="1" ht="18.75" customHeight="1">
      <c r="A65" s="42" t="s">
        <v>0</v>
      </c>
      <c r="B65" s="42" t="s">
        <v>1</v>
      </c>
      <c r="C65" s="45" t="s">
        <v>962</v>
      </c>
      <c r="D65" s="45" t="s">
        <v>583</v>
      </c>
      <c r="E65" s="10" t="s">
        <v>909</v>
      </c>
      <c r="F65" s="47" t="s">
        <v>137</v>
      </c>
      <c r="G65" s="42"/>
      <c r="H65" s="42"/>
      <c r="I65" s="44">
        <v>40</v>
      </c>
      <c r="J65" s="44">
        <f t="shared" si="26"/>
        <v>40</v>
      </c>
      <c r="K65" s="42">
        <v>15000</v>
      </c>
      <c r="L65" s="42">
        <f t="shared" si="1"/>
        <v>600000</v>
      </c>
      <c r="M65" s="42"/>
      <c r="N65" s="42" t="s">
        <v>184</v>
      </c>
      <c r="O65" s="101" t="s">
        <v>446</v>
      </c>
      <c r="P65" s="45">
        <v>2</v>
      </c>
      <c r="Q65" s="100">
        <f>72*2</f>
        <v>144</v>
      </c>
      <c r="R65" s="100"/>
      <c r="S65" s="42">
        <v>7550</v>
      </c>
      <c r="T65" s="12">
        <f t="shared" si="27"/>
        <v>1087200</v>
      </c>
      <c r="U65" s="102" t="s">
        <v>82</v>
      </c>
      <c r="V65" s="12">
        <f>+T65*0.16</f>
        <v>173952</v>
      </c>
      <c r="W65" s="12">
        <f t="shared" si="28"/>
        <v>913248</v>
      </c>
      <c r="X65" s="116"/>
      <c r="Y65" s="117">
        <f t="shared" si="25"/>
        <v>1513248</v>
      </c>
      <c r="Z65" s="12"/>
      <c r="AA65" s="12">
        <f t="shared" si="5"/>
        <v>1513248</v>
      </c>
      <c r="AB65" s="12">
        <v>0.02</v>
      </c>
      <c r="AC65" s="12">
        <f t="shared" si="6"/>
        <v>302.64959999999996</v>
      </c>
      <c r="AD65" s="42"/>
      <c r="AE65" s="12"/>
    </row>
    <row r="66" spans="1:31" s="46" customFormat="1" ht="18.75" customHeight="1">
      <c r="A66" s="42" t="s">
        <v>0</v>
      </c>
      <c r="B66" s="42" t="s">
        <v>1</v>
      </c>
      <c r="C66" s="45" t="s">
        <v>963</v>
      </c>
      <c r="D66" s="45" t="s">
        <v>584</v>
      </c>
      <c r="E66" s="10" t="s">
        <v>909</v>
      </c>
      <c r="F66" s="47" t="s">
        <v>143</v>
      </c>
      <c r="G66" s="42"/>
      <c r="H66" s="42"/>
      <c r="I66" s="44">
        <v>39.1</v>
      </c>
      <c r="J66" s="44">
        <f t="shared" si="26"/>
        <v>39.1</v>
      </c>
      <c r="K66" s="42">
        <v>15000</v>
      </c>
      <c r="L66" s="42">
        <f aca="true" t="shared" si="29" ref="L66:L366">+K66*J66</f>
        <v>586500</v>
      </c>
      <c r="M66" s="42"/>
      <c r="N66" s="111" t="s">
        <v>595</v>
      </c>
      <c r="O66" s="101" t="s">
        <v>446</v>
      </c>
      <c r="P66" s="45">
        <v>3</v>
      </c>
      <c r="Q66" s="112">
        <v>253</v>
      </c>
      <c r="R66" s="132"/>
      <c r="S66" s="42">
        <v>6000</v>
      </c>
      <c r="T66" s="12">
        <f t="shared" si="27"/>
        <v>1518000</v>
      </c>
      <c r="U66" s="102" t="s">
        <v>82</v>
      </c>
      <c r="V66" s="12">
        <f>+T66*0.16</f>
        <v>242880</v>
      </c>
      <c r="W66" s="12">
        <f t="shared" si="28"/>
        <v>1275120</v>
      </c>
      <c r="X66" s="116"/>
      <c r="Y66" s="117">
        <f t="shared" si="25"/>
        <v>1861620</v>
      </c>
      <c r="Z66" s="12"/>
      <c r="AA66" s="12">
        <f aca="true" t="shared" si="30" ref="AA66:AA131">+Y66-Z66</f>
        <v>1861620</v>
      </c>
      <c r="AB66" s="12">
        <v>0.3</v>
      </c>
      <c r="AC66" s="12">
        <f aca="true" t="shared" si="31" ref="AC66:AC131">+AA66*AB66/100</f>
        <v>5584.86</v>
      </c>
      <c r="AD66" s="42"/>
      <c r="AE66" s="12"/>
    </row>
    <row r="67" spans="1:31" s="46" customFormat="1" ht="18.75" customHeight="1">
      <c r="A67" s="42" t="s">
        <v>0</v>
      </c>
      <c r="B67" s="42" t="s">
        <v>1</v>
      </c>
      <c r="C67" s="45" t="s">
        <v>964</v>
      </c>
      <c r="D67" s="45" t="s">
        <v>585</v>
      </c>
      <c r="E67" s="10" t="s">
        <v>909</v>
      </c>
      <c r="F67" s="47" t="s">
        <v>143</v>
      </c>
      <c r="G67" s="42"/>
      <c r="H67" s="42"/>
      <c r="I67" s="44">
        <v>38.1</v>
      </c>
      <c r="J67" s="44">
        <f t="shared" si="26"/>
        <v>38.1</v>
      </c>
      <c r="K67" s="42">
        <v>15000</v>
      </c>
      <c r="L67" s="42">
        <f t="shared" si="29"/>
        <v>571500</v>
      </c>
      <c r="M67" s="42"/>
      <c r="N67" s="42"/>
      <c r="O67" s="42"/>
      <c r="P67" s="45"/>
      <c r="Q67" s="42"/>
      <c r="R67" s="100"/>
      <c r="S67" s="42"/>
      <c r="T67" s="12">
        <f t="shared" si="27"/>
        <v>0</v>
      </c>
      <c r="U67" s="45"/>
      <c r="V67" s="12">
        <f aca="true" t="shared" si="32" ref="V67:V74">+T67*0</f>
        <v>0</v>
      </c>
      <c r="W67" s="12">
        <f t="shared" si="28"/>
        <v>0</v>
      </c>
      <c r="X67" s="116"/>
      <c r="Y67" s="117">
        <f t="shared" si="25"/>
        <v>571500</v>
      </c>
      <c r="Z67" s="12"/>
      <c r="AA67" s="12">
        <f t="shared" si="30"/>
        <v>571500</v>
      </c>
      <c r="AB67" s="12">
        <v>0.3</v>
      </c>
      <c r="AC67" s="12">
        <f t="shared" si="31"/>
        <v>1714.5</v>
      </c>
      <c r="AD67" s="42"/>
      <c r="AE67" s="12"/>
    </row>
    <row r="68" spans="1:31" s="46" customFormat="1" ht="18.75" customHeight="1">
      <c r="A68" s="42" t="s">
        <v>0</v>
      </c>
      <c r="B68" s="42" t="s">
        <v>1</v>
      </c>
      <c r="C68" s="45" t="s">
        <v>965</v>
      </c>
      <c r="D68" s="45" t="s">
        <v>586</v>
      </c>
      <c r="E68" s="10" t="s">
        <v>909</v>
      </c>
      <c r="F68" s="47" t="s">
        <v>143</v>
      </c>
      <c r="G68" s="42"/>
      <c r="H68" s="42"/>
      <c r="I68" s="44">
        <v>37.1</v>
      </c>
      <c r="J68" s="44">
        <f t="shared" si="26"/>
        <v>37.1</v>
      </c>
      <c r="K68" s="42">
        <v>15000</v>
      </c>
      <c r="L68" s="42">
        <f aca="true" t="shared" si="33" ref="L68:L77">+K68*J68</f>
        <v>556500</v>
      </c>
      <c r="M68" s="42"/>
      <c r="N68" s="42"/>
      <c r="O68" s="100"/>
      <c r="P68" s="45"/>
      <c r="Q68" s="100"/>
      <c r="R68" s="100"/>
      <c r="S68" s="42"/>
      <c r="T68" s="12">
        <f t="shared" si="27"/>
        <v>0</v>
      </c>
      <c r="U68" s="45"/>
      <c r="V68" s="12">
        <f t="shared" si="32"/>
        <v>0</v>
      </c>
      <c r="W68" s="12">
        <f t="shared" si="28"/>
        <v>0</v>
      </c>
      <c r="X68" s="116"/>
      <c r="Y68" s="117">
        <f t="shared" si="25"/>
        <v>556500</v>
      </c>
      <c r="Z68" s="12"/>
      <c r="AA68" s="12">
        <f t="shared" si="30"/>
        <v>556500</v>
      </c>
      <c r="AB68" s="12">
        <v>0.3</v>
      </c>
      <c r="AC68" s="12">
        <f t="shared" si="31"/>
        <v>1669.5</v>
      </c>
      <c r="AD68" s="42"/>
      <c r="AE68" s="12"/>
    </row>
    <row r="69" spans="1:31" s="46" customFormat="1" ht="18.75" customHeight="1">
      <c r="A69" s="42" t="s">
        <v>0</v>
      </c>
      <c r="B69" s="42" t="s">
        <v>1</v>
      </c>
      <c r="C69" s="45" t="s">
        <v>966</v>
      </c>
      <c r="D69" s="45" t="s">
        <v>587</v>
      </c>
      <c r="E69" s="10" t="s">
        <v>909</v>
      </c>
      <c r="F69" s="47" t="s">
        <v>143</v>
      </c>
      <c r="G69" s="42"/>
      <c r="H69" s="42"/>
      <c r="I69" s="44">
        <v>36.2</v>
      </c>
      <c r="J69" s="44">
        <f t="shared" si="26"/>
        <v>36.2</v>
      </c>
      <c r="K69" s="42">
        <v>15000</v>
      </c>
      <c r="L69" s="42">
        <f t="shared" si="33"/>
        <v>543000</v>
      </c>
      <c r="M69" s="42"/>
      <c r="N69" s="42"/>
      <c r="O69" s="100"/>
      <c r="P69" s="45"/>
      <c r="Q69" s="100"/>
      <c r="R69" s="100"/>
      <c r="S69" s="42"/>
      <c r="T69" s="12">
        <f t="shared" si="27"/>
        <v>0</v>
      </c>
      <c r="U69" s="45"/>
      <c r="V69" s="12">
        <f t="shared" si="32"/>
        <v>0</v>
      </c>
      <c r="W69" s="12">
        <f t="shared" si="28"/>
        <v>0</v>
      </c>
      <c r="X69" s="116"/>
      <c r="Y69" s="117">
        <f t="shared" si="25"/>
        <v>543000</v>
      </c>
      <c r="Z69" s="12"/>
      <c r="AA69" s="12">
        <f t="shared" si="30"/>
        <v>543000</v>
      </c>
      <c r="AB69" s="12">
        <v>0.3</v>
      </c>
      <c r="AC69" s="12">
        <f t="shared" si="31"/>
        <v>1629</v>
      </c>
      <c r="AD69" s="42"/>
      <c r="AE69" s="12"/>
    </row>
    <row r="70" spans="1:31" s="46" customFormat="1" ht="18.75" customHeight="1">
      <c r="A70" s="42" t="s">
        <v>0</v>
      </c>
      <c r="B70" s="42" t="s">
        <v>1</v>
      </c>
      <c r="C70" s="45" t="s">
        <v>967</v>
      </c>
      <c r="D70" s="45" t="s">
        <v>588</v>
      </c>
      <c r="E70" s="10" t="s">
        <v>909</v>
      </c>
      <c r="F70" s="47" t="s">
        <v>140</v>
      </c>
      <c r="G70" s="42"/>
      <c r="H70" s="42"/>
      <c r="I70" s="44">
        <v>35.2</v>
      </c>
      <c r="J70" s="44">
        <f t="shared" si="26"/>
        <v>35.2</v>
      </c>
      <c r="K70" s="42">
        <v>15000</v>
      </c>
      <c r="L70" s="42">
        <f t="shared" si="33"/>
        <v>528000</v>
      </c>
      <c r="M70" s="42"/>
      <c r="N70" s="42"/>
      <c r="O70" s="100"/>
      <c r="P70" s="45"/>
      <c r="Q70" s="100"/>
      <c r="R70" s="100"/>
      <c r="S70" s="42"/>
      <c r="T70" s="12">
        <f t="shared" si="27"/>
        <v>0</v>
      </c>
      <c r="U70" s="45"/>
      <c r="V70" s="12">
        <f t="shared" si="32"/>
        <v>0</v>
      </c>
      <c r="W70" s="12">
        <f t="shared" si="28"/>
        <v>0</v>
      </c>
      <c r="X70" s="116"/>
      <c r="Y70" s="117">
        <f t="shared" si="25"/>
        <v>528000</v>
      </c>
      <c r="Z70" s="12"/>
      <c r="AA70" s="12">
        <f t="shared" si="30"/>
        <v>528000</v>
      </c>
      <c r="AB70" s="12">
        <v>0.3</v>
      </c>
      <c r="AC70" s="12">
        <f t="shared" si="31"/>
        <v>1584</v>
      </c>
      <c r="AD70" s="42"/>
      <c r="AE70" s="12"/>
    </row>
    <row r="71" spans="1:31" s="46" customFormat="1" ht="18.75" customHeight="1">
      <c r="A71" s="42" t="s">
        <v>0</v>
      </c>
      <c r="B71" s="42" t="s">
        <v>1</v>
      </c>
      <c r="C71" s="45" t="s">
        <v>968</v>
      </c>
      <c r="D71" s="45" t="s">
        <v>589</v>
      </c>
      <c r="E71" s="10" t="s">
        <v>909</v>
      </c>
      <c r="F71" s="47" t="s">
        <v>140</v>
      </c>
      <c r="G71" s="42"/>
      <c r="H71" s="42"/>
      <c r="I71" s="44">
        <v>33.4</v>
      </c>
      <c r="J71" s="44">
        <f t="shared" si="26"/>
        <v>33.4</v>
      </c>
      <c r="K71" s="42">
        <v>15000</v>
      </c>
      <c r="L71" s="42">
        <f t="shared" si="33"/>
        <v>501000</v>
      </c>
      <c r="M71" s="42"/>
      <c r="N71" s="42"/>
      <c r="O71" s="100"/>
      <c r="P71" s="45"/>
      <c r="Q71" s="100"/>
      <c r="R71" s="100"/>
      <c r="S71" s="42"/>
      <c r="T71" s="12">
        <f t="shared" si="27"/>
        <v>0</v>
      </c>
      <c r="U71" s="45"/>
      <c r="V71" s="12">
        <f t="shared" si="32"/>
        <v>0</v>
      </c>
      <c r="W71" s="12">
        <f t="shared" si="28"/>
        <v>0</v>
      </c>
      <c r="X71" s="116"/>
      <c r="Y71" s="117">
        <f t="shared" si="25"/>
        <v>501000</v>
      </c>
      <c r="Z71" s="12"/>
      <c r="AA71" s="12">
        <f t="shared" si="30"/>
        <v>501000</v>
      </c>
      <c r="AB71" s="12">
        <v>0.3</v>
      </c>
      <c r="AC71" s="12">
        <f t="shared" si="31"/>
        <v>1503</v>
      </c>
      <c r="AD71" s="42"/>
      <c r="AE71" s="12"/>
    </row>
    <row r="72" spans="1:31" s="46" customFormat="1" ht="18.75" customHeight="1">
      <c r="A72" s="42" t="s">
        <v>0</v>
      </c>
      <c r="B72" s="42" t="s">
        <v>1</v>
      </c>
      <c r="C72" s="45" t="s">
        <v>969</v>
      </c>
      <c r="D72" s="45" t="s">
        <v>590</v>
      </c>
      <c r="E72" s="10" t="s">
        <v>909</v>
      </c>
      <c r="F72" s="47" t="s">
        <v>140</v>
      </c>
      <c r="G72" s="42"/>
      <c r="H72" s="42"/>
      <c r="I72" s="44">
        <v>32.4</v>
      </c>
      <c r="J72" s="44">
        <f t="shared" si="26"/>
        <v>32.4</v>
      </c>
      <c r="K72" s="42">
        <v>15000</v>
      </c>
      <c r="L72" s="42">
        <f t="shared" si="33"/>
        <v>486000</v>
      </c>
      <c r="M72" s="42"/>
      <c r="N72" s="42"/>
      <c r="O72" s="42"/>
      <c r="P72" s="45"/>
      <c r="Q72" s="42"/>
      <c r="R72" s="100"/>
      <c r="S72" s="42"/>
      <c r="T72" s="12">
        <f t="shared" si="27"/>
        <v>0</v>
      </c>
      <c r="U72" s="45"/>
      <c r="V72" s="12">
        <f t="shared" si="32"/>
        <v>0</v>
      </c>
      <c r="W72" s="12">
        <f t="shared" si="28"/>
        <v>0</v>
      </c>
      <c r="X72" s="116"/>
      <c r="Y72" s="117">
        <f t="shared" si="25"/>
        <v>486000</v>
      </c>
      <c r="Z72" s="12"/>
      <c r="AA72" s="12">
        <f t="shared" si="30"/>
        <v>486000</v>
      </c>
      <c r="AB72" s="12">
        <v>0.3</v>
      </c>
      <c r="AC72" s="12">
        <f t="shared" si="31"/>
        <v>1458</v>
      </c>
      <c r="AD72" s="42"/>
      <c r="AE72" s="12"/>
    </row>
    <row r="73" spans="1:31" s="46" customFormat="1" ht="18.75" customHeight="1">
      <c r="A73" s="42" t="s">
        <v>0</v>
      </c>
      <c r="B73" s="42" t="s">
        <v>1</v>
      </c>
      <c r="C73" s="45" t="s">
        <v>970</v>
      </c>
      <c r="D73" s="45" t="s">
        <v>591</v>
      </c>
      <c r="E73" s="10" t="s">
        <v>909</v>
      </c>
      <c r="F73" s="47" t="s">
        <v>140</v>
      </c>
      <c r="G73" s="42"/>
      <c r="H73" s="42"/>
      <c r="I73" s="44">
        <v>31.5</v>
      </c>
      <c r="J73" s="44">
        <f t="shared" si="26"/>
        <v>31.5</v>
      </c>
      <c r="K73" s="42">
        <v>15000</v>
      </c>
      <c r="L73" s="42">
        <f t="shared" si="33"/>
        <v>472500</v>
      </c>
      <c r="M73" s="42"/>
      <c r="N73" s="42"/>
      <c r="O73" s="42"/>
      <c r="P73" s="45"/>
      <c r="Q73" s="42"/>
      <c r="R73" s="100"/>
      <c r="S73" s="42"/>
      <c r="T73" s="12">
        <f t="shared" si="27"/>
        <v>0</v>
      </c>
      <c r="U73" s="45"/>
      <c r="V73" s="12">
        <f t="shared" si="32"/>
        <v>0</v>
      </c>
      <c r="W73" s="12">
        <f t="shared" si="28"/>
        <v>0</v>
      </c>
      <c r="X73" s="116"/>
      <c r="Y73" s="117">
        <f t="shared" si="25"/>
        <v>472500</v>
      </c>
      <c r="Z73" s="12"/>
      <c r="AA73" s="12">
        <f>+Y73-Z73</f>
        <v>472500</v>
      </c>
      <c r="AB73" s="12">
        <v>0.3</v>
      </c>
      <c r="AC73" s="12">
        <f>+AA73*AB73/100</f>
        <v>1417.5</v>
      </c>
      <c r="AD73" s="42"/>
      <c r="AE73" s="12"/>
    </row>
    <row r="74" spans="1:31" s="46" customFormat="1" ht="18.75" customHeight="1">
      <c r="A74" s="42" t="s">
        <v>0</v>
      </c>
      <c r="B74" s="42" t="s">
        <v>1</v>
      </c>
      <c r="C74" s="45" t="s">
        <v>971</v>
      </c>
      <c r="D74" s="45" t="s">
        <v>592</v>
      </c>
      <c r="E74" s="10" t="s">
        <v>909</v>
      </c>
      <c r="F74" s="47" t="s">
        <v>140</v>
      </c>
      <c r="G74" s="42"/>
      <c r="H74" s="42"/>
      <c r="I74" s="44">
        <v>30.5</v>
      </c>
      <c r="J74" s="44">
        <f t="shared" si="26"/>
        <v>30.5</v>
      </c>
      <c r="K74" s="42">
        <v>15000</v>
      </c>
      <c r="L74" s="42">
        <f t="shared" si="33"/>
        <v>457500</v>
      </c>
      <c r="M74" s="42"/>
      <c r="N74" s="42"/>
      <c r="O74" s="42"/>
      <c r="P74" s="45"/>
      <c r="Q74" s="42"/>
      <c r="R74" s="100"/>
      <c r="S74" s="42"/>
      <c r="T74" s="12">
        <f t="shared" si="27"/>
        <v>0</v>
      </c>
      <c r="U74" s="45"/>
      <c r="V74" s="12">
        <f t="shared" si="32"/>
        <v>0</v>
      </c>
      <c r="W74" s="12">
        <f t="shared" si="28"/>
        <v>0</v>
      </c>
      <c r="X74" s="116"/>
      <c r="Y74" s="117">
        <f t="shared" si="25"/>
        <v>457500</v>
      </c>
      <c r="Z74" s="12"/>
      <c r="AA74" s="12">
        <f>+Y74-Z74</f>
        <v>457500</v>
      </c>
      <c r="AB74" s="12">
        <v>0.3</v>
      </c>
      <c r="AC74" s="12">
        <f>+AA74*AB74/100</f>
        <v>1372.5</v>
      </c>
      <c r="AD74" s="42"/>
      <c r="AE74" s="12"/>
    </row>
    <row r="75" spans="1:31" s="46" customFormat="1" ht="18.75" customHeight="1">
      <c r="A75" s="42" t="s">
        <v>0</v>
      </c>
      <c r="B75" s="42" t="s">
        <v>1</v>
      </c>
      <c r="C75" s="45" t="s">
        <v>972</v>
      </c>
      <c r="D75" s="45" t="s">
        <v>593</v>
      </c>
      <c r="E75" s="10" t="s">
        <v>909</v>
      </c>
      <c r="F75" s="47" t="s">
        <v>137</v>
      </c>
      <c r="G75" s="42"/>
      <c r="H75" s="42"/>
      <c r="I75" s="44">
        <v>29.6</v>
      </c>
      <c r="J75" s="44">
        <f t="shared" si="26"/>
        <v>29.6</v>
      </c>
      <c r="K75" s="42">
        <v>15000</v>
      </c>
      <c r="L75" s="42">
        <f>+K75*J75</f>
        <v>444000</v>
      </c>
      <c r="M75" s="42"/>
      <c r="N75" s="42" t="s">
        <v>60</v>
      </c>
      <c r="O75" s="101" t="s">
        <v>446</v>
      </c>
      <c r="P75" s="45">
        <v>2</v>
      </c>
      <c r="Q75" s="100">
        <v>240</v>
      </c>
      <c r="R75" s="100"/>
      <c r="S75" s="42">
        <v>7550</v>
      </c>
      <c r="T75" s="12">
        <f t="shared" si="27"/>
        <v>1812000</v>
      </c>
      <c r="U75" s="45" t="s">
        <v>150</v>
      </c>
      <c r="V75" s="12">
        <f>+T75*0.04</f>
        <v>72480</v>
      </c>
      <c r="W75" s="12">
        <f t="shared" si="28"/>
        <v>1739520</v>
      </c>
      <c r="X75" s="116"/>
      <c r="Y75" s="117">
        <f t="shared" si="25"/>
        <v>2183520</v>
      </c>
      <c r="Z75" s="12"/>
      <c r="AA75" s="12">
        <f>+Y75-Z75</f>
        <v>2183520</v>
      </c>
      <c r="AB75" s="12">
        <v>0.02</v>
      </c>
      <c r="AC75" s="12">
        <f>+AA75*AB75/100</f>
        <v>436.704</v>
      </c>
      <c r="AD75" s="42"/>
      <c r="AE75" s="12"/>
    </row>
    <row r="76" spans="1:31" s="46" customFormat="1" ht="18.75" customHeight="1">
      <c r="A76" s="42" t="s">
        <v>0</v>
      </c>
      <c r="B76" s="42" t="s">
        <v>1</v>
      </c>
      <c r="C76" s="45" t="s">
        <v>973</v>
      </c>
      <c r="D76" s="45" t="s">
        <v>594</v>
      </c>
      <c r="E76" s="10" t="s">
        <v>909</v>
      </c>
      <c r="F76" s="47" t="s">
        <v>167</v>
      </c>
      <c r="G76" s="42"/>
      <c r="H76" s="42"/>
      <c r="I76" s="44">
        <v>61.7</v>
      </c>
      <c r="J76" s="44">
        <f t="shared" si="26"/>
        <v>61.7</v>
      </c>
      <c r="K76" s="42">
        <v>40000</v>
      </c>
      <c r="L76" s="42">
        <f>+K76*J76</f>
        <v>2468000</v>
      </c>
      <c r="M76" s="42">
        <v>1</v>
      </c>
      <c r="N76" s="42" t="s">
        <v>60</v>
      </c>
      <c r="O76" s="101" t="s">
        <v>446</v>
      </c>
      <c r="P76" s="45">
        <v>2</v>
      </c>
      <c r="Q76" s="100">
        <v>80</v>
      </c>
      <c r="R76" s="100">
        <v>83.34</v>
      </c>
      <c r="S76" s="42">
        <v>7550</v>
      </c>
      <c r="T76" s="12">
        <f t="shared" si="27"/>
        <v>604000</v>
      </c>
      <c r="U76" s="45" t="s">
        <v>150</v>
      </c>
      <c r="V76" s="12">
        <f>+T76*0.04</f>
        <v>24160</v>
      </c>
      <c r="W76" s="12">
        <f t="shared" si="28"/>
        <v>579840</v>
      </c>
      <c r="X76" s="116"/>
      <c r="Y76" s="117">
        <f>+L76*(R76/100)+W76</f>
        <v>2636671.2</v>
      </c>
      <c r="Z76" s="12"/>
      <c r="AA76" s="12">
        <f>+Y76-Z76</f>
        <v>2636671.2</v>
      </c>
      <c r="AB76" s="12">
        <v>0.02</v>
      </c>
      <c r="AC76" s="12">
        <f>+AA76*AB76/100</f>
        <v>527.33424</v>
      </c>
      <c r="AD76" s="42"/>
      <c r="AE76" s="12"/>
    </row>
    <row r="77" spans="1:31" s="46" customFormat="1" ht="18.75" customHeight="1">
      <c r="A77" s="42" t="s">
        <v>0</v>
      </c>
      <c r="B77" s="42"/>
      <c r="C77" s="45"/>
      <c r="D77" s="45"/>
      <c r="E77" s="45"/>
      <c r="F77" s="47"/>
      <c r="G77" s="42"/>
      <c r="H77" s="42"/>
      <c r="I77" s="44"/>
      <c r="J77" s="44">
        <f t="shared" si="26"/>
        <v>0</v>
      </c>
      <c r="K77" s="42"/>
      <c r="L77" s="42">
        <f t="shared" si="33"/>
        <v>0</v>
      </c>
      <c r="M77" s="42">
        <v>2</v>
      </c>
      <c r="N77" s="42" t="s">
        <v>60</v>
      </c>
      <c r="O77" s="101" t="s">
        <v>446</v>
      </c>
      <c r="P77" s="45">
        <v>3</v>
      </c>
      <c r="Q77" s="100">
        <v>16</v>
      </c>
      <c r="R77" s="100">
        <v>16.66</v>
      </c>
      <c r="S77" s="42">
        <v>7550</v>
      </c>
      <c r="T77" s="12">
        <f t="shared" si="27"/>
        <v>120800</v>
      </c>
      <c r="U77" s="45" t="s">
        <v>150</v>
      </c>
      <c r="V77" s="12">
        <f>+T77*0.04</f>
        <v>4832</v>
      </c>
      <c r="W77" s="12">
        <f t="shared" si="28"/>
        <v>115968</v>
      </c>
      <c r="X77" s="116"/>
      <c r="Y77" s="117">
        <f>+L76*(R77/100)+W77</f>
        <v>527136.8</v>
      </c>
      <c r="Z77" s="12"/>
      <c r="AA77" s="12">
        <f t="shared" si="30"/>
        <v>527136.8</v>
      </c>
      <c r="AB77" s="12">
        <v>0.3</v>
      </c>
      <c r="AC77" s="12">
        <f t="shared" si="31"/>
        <v>1581.4104</v>
      </c>
      <c r="AD77" s="42"/>
      <c r="AE77" s="12"/>
    </row>
    <row r="78" spans="1:31" s="46" customFormat="1" ht="21">
      <c r="A78" s="42" t="s">
        <v>0</v>
      </c>
      <c r="B78" s="42" t="s">
        <v>1</v>
      </c>
      <c r="C78" s="45" t="s">
        <v>974</v>
      </c>
      <c r="D78" s="45" t="s">
        <v>596</v>
      </c>
      <c r="E78" s="29" t="s">
        <v>907</v>
      </c>
      <c r="F78" s="47" t="s">
        <v>140</v>
      </c>
      <c r="G78" s="42"/>
      <c r="H78" s="42"/>
      <c r="I78" s="44">
        <v>89.3</v>
      </c>
      <c r="J78" s="44">
        <f aca="true" t="shared" si="34" ref="J78:J106">+I78+(H78*100)+(G78*400)</f>
        <v>89.3</v>
      </c>
      <c r="K78" s="42">
        <v>20000</v>
      </c>
      <c r="L78" s="42">
        <f t="shared" si="29"/>
        <v>1786000</v>
      </c>
      <c r="M78" s="42"/>
      <c r="N78" s="42"/>
      <c r="O78" s="100"/>
      <c r="P78" s="45"/>
      <c r="Q78" s="100"/>
      <c r="R78" s="100"/>
      <c r="S78" s="42"/>
      <c r="T78" s="12">
        <f aca="true" t="shared" si="35" ref="T78:T106">+Q78*S78</f>
        <v>0</v>
      </c>
      <c r="U78" s="45"/>
      <c r="V78" s="12">
        <f>+T78*0</f>
        <v>0</v>
      </c>
      <c r="W78" s="12">
        <f aca="true" t="shared" si="36" ref="W78:W106">+T78-V78</f>
        <v>0</v>
      </c>
      <c r="X78" s="116"/>
      <c r="Y78" s="117">
        <f aca="true" t="shared" si="37" ref="Y78:Y99">+L78+W78</f>
        <v>1786000</v>
      </c>
      <c r="Z78" s="12"/>
      <c r="AA78" s="12">
        <f t="shared" si="30"/>
        <v>1786000</v>
      </c>
      <c r="AB78" s="12">
        <v>0.3</v>
      </c>
      <c r="AC78" s="12">
        <f t="shared" si="31"/>
        <v>5358</v>
      </c>
      <c r="AD78" s="42"/>
      <c r="AE78" s="12"/>
    </row>
    <row r="79" spans="1:31" s="46" customFormat="1" ht="21">
      <c r="A79" s="42" t="s">
        <v>0</v>
      </c>
      <c r="B79" s="42" t="s">
        <v>1</v>
      </c>
      <c r="C79" s="45" t="s">
        <v>975</v>
      </c>
      <c r="D79" s="51" t="s">
        <v>597</v>
      </c>
      <c r="E79" s="29" t="s">
        <v>907</v>
      </c>
      <c r="F79" s="47" t="s">
        <v>137</v>
      </c>
      <c r="G79" s="42">
        <v>1</v>
      </c>
      <c r="H79" s="42"/>
      <c r="I79" s="44">
        <v>61.1</v>
      </c>
      <c r="J79" s="44">
        <f t="shared" si="34"/>
        <v>461.1</v>
      </c>
      <c r="K79" s="42">
        <v>15000</v>
      </c>
      <c r="L79" s="42">
        <f t="shared" si="29"/>
        <v>6916500</v>
      </c>
      <c r="M79" s="42"/>
      <c r="N79" s="42" t="s">
        <v>64</v>
      </c>
      <c r="O79" s="101" t="s">
        <v>446</v>
      </c>
      <c r="P79" s="45">
        <v>2</v>
      </c>
      <c r="Q79" s="100">
        <v>24</v>
      </c>
      <c r="R79" s="100"/>
      <c r="S79" s="42">
        <v>6550</v>
      </c>
      <c r="T79" s="12">
        <f t="shared" si="35"/>
        <v>157200</v>
      </c>
      <c r="U79" s="45" t="s">
        <v>150</v>
      </c>
      <c r="V79" s="12">
        <f>+T79*0.04</f>
        <v>6288</v>
      </c>
      <c r="W79" s="12">
        <f t="shared" si="36"/>
        <v>150912</v>
      </c>
      <c r="X79" s="116"/>
      <c r="Y79" s="117">
        <f t="shared" si="37"/>
        <v>7067412</v>
      </c>
      <c r="Z79" s="12"/>
      <c r="AA79" s="12">
        <f t="shared" si="30"/>
        <v>7067412</v>
      </c>
      <c r="AB79" s="12">
        <v>0.02</v>
      </c>
      <c r="AC79" s="12">
        <f t="shared" si="31"/>
        <v>1413.4823999999999</v>
      </c>
      <c r="AD79" s="42"/>
      <c r="AE79" s="12"/>
    </row>
    <row r="80" spans="1:31" s="46" customFormat="1" ht="21">
      <c r="A80" s="42"/>
      <c r="B80" s="42"/>
      <c r="C80" s="45"/>
      <c r="D80" s="45"/>
      <c r="E80" s="45"/>
      <c r="F80" s="47"/>
      <c r="G80" s="42"/>
      <c r="H80" s="42"/>
      <c r="I80" s="44"/>
      <c r="J80" s="44">
        <f t="shared" si="34"/>
        <v>0</v>
      </c>
      <c r="K80" s="42"/>
      <c r="L80" s="42">
        <f t="shared" si="29"/>
        <v>0</v>
      </c>
      <c r="M80" s="42"/>
      <c r="N80" s="42"/>
      <c r="O80" s="100"/>
      <c r="P80" s="31"/>
      <c r="Q80" s="100"/>
      <c r="R80" s="100"/>
      <c r="S80" s="42"/>
      <c r="T80" s="12">
        <f t="shared" si="35"/>
        <v>0</v>
      </c>
      <c r="U80" s="45"/>
      <c r="V80" s="12">
        <f>+T80*0</f>
        <v>0</v>
      </c>
      <c r="W80" s="12">
        <f t="shared" si="36"/>
        <v>0</v>
      </c>
      <c r="X80" s="116"/>
      <c r="Y80" s="117">
        <f t="shared" si="37"/>
        <v>0</v>
      </c>
      <c r="Z80" s="12"/>
      <c r="AA80" s="12">
        <f t="shared" si="30"/>
        <v>0</v>
      </c>
      <c r="AB80" s="12"/>
      <c r="AC80" s="12">
        <f t="shared" si="31"/>
        <v>0</v>
      </c>
      <c r="AD80" s="42"/>
      <c r="AE80" s="12"/>
    </row>
    <row r="81" spans="1:31" s="46" customFormat="1" ht="21">
      <c r="A81" s="42"/>
      <c r="B81" s="42"/>
      <c r="C81" s="45"/>
      <c r="D81" s="45"/>
      <c r="E81" s="45"/>
      <c r="F81" s="47"/>
      <c r="G81" s="42"/>
      <c r="H81" s="42"/>
      <c r="I81" s="44"/>
      <c r="J81" s="44">
        <f t="shared" si="34"/>
        <v>0</v>
      </c>
      <c r="K81" s="42"/>
      <c r="L81" s="42">
        <f t="shared" si="29"/>
        <v>0</v>
      </c>
      <c r="M81" s="42"/>
      <c r="N81" s="42"/>
      <c r="O81" s="42"/>
      <c r="P81" s="31"/>
      <c r="Q81" s="42"/>
      <c r="R81" s="42"/>
      <c r="S81" s="42"/>
      <c r="T81" s="12">
        <f t="shared" si="35"/>
        <v>0</v>
      </c>
      <c r="U81" s="45"/>
      <c r="V81" s="12">
        <f>+T81*0</f>
        <v>0</v>
      </c>
      <c r="W81" s="12">
        <f t="shared" si="36"/>
        <v>0</v>
      </c>
      <c r="X81" s="116"/>
      <c r="Y81" s="117">
        <f t="shared" si="37"/>
        <v>0</v>
      </c>
      <c r="Z81" s="12"/>
      <c r="AA81" s="12">
        <f t="shared" si="30"/>
        <v>0</v>
      </c>
      <c r="AB81" s="12"/>
      <c r="AC81" s="12">
        <f t="shared" si="31"/>
        <v>0</v>
      </c>
      <c r="AD81" s="42"/>
      <c r="AE81" s="12"/>
    </row>
    <row r="82" spans="1:31" s="46" customFormat="1" ht="21">
      <c r="A82" s="42" t="s">
        <v>0</v>
      </c>
      <c r="B82" s="42" t="s">
        <v>1</v>
      </c>
      <c r="C82" s="45" t="s">
        <v>976</v>
      </c>
      <c r="D82" s="45" t="s">
        <v>598</v>
      </c>
      <c r="E82" s="29" t="s">
        <v>907</v>
      </c>
      <c r="F82" s="47" t="s">
        <v>140</v>
      </c>
      <c r="G82" s="42"/>
      <c r="H82" s="42"/>
      <c r="I82" s="44">
        <v>57.2</v>
      </c>
      <c r="J82" s="44">
        <f t="shared" si="34"/>
        <v>57.2</v>
      </c>
      <c r="K82" s="42">
        <v>10000</v>
      </c>
      <c r="L82" s="42">
        <f t="shared" si="29"/>
        <v>572000</v>
      </c>
      <c r="M82" s="42"/>
      <c r="N82" s="42"/>
      <c r="O82" s="100"/>
      <c r="P82" s="45"/>
      <c r="Q82" s="100"/>
      <c r="R82" s="100"/>
      <c r="S82" s="42"/>
      <c r="T82" s="12">
        <f t="shared" si="35"/>
        <v>0</v>
      </c>
      <c r="U82" s="45"/>
      <c r="V82" s="12">
        <f>+T82*0</f>
        <v>0</v>
      </c>
      <c r="W82" s="12">
        <f t="shared" si="36"/>
        <v>0</v>
      </c>
      <c r="X82" s="116"/>
      <c r="Y82" s="117">
        <f t="shared" si="37"/>
        <v>572000</v>
      </c>
      <c r="Z82" s="12"/>
      <c r="AA82" s="12">
        <f t="shared" si="30"/>
        <v>572000</v>
      </c>
      <c r="AB82" s="12">
        <v>0.3</v>
      </c>
      <c r="AC82" s="12">
        <f t="shared" si="31"/>
        <v>1716</v>
      </c>
      <c r="AD82" s="42"/>
      <c r="AE82" s="12"/>
    </row>
    <row r="83" spans="1:31" s="46" customFormat="1" ht="21">
      <c r="A83" s="42"/>
      <c r="B83" s="42"/>
      <c r="C83" s="45"/>
      <c r="D83" s="45"/>
      <c r="E83" s="45"/>
      <c r="F83" s="47"/>
      <c r="G83" s="42"/>
      <c r="H83" s="42"/>
      <c r="I83" s="44"/>
      <c r="J83" s="44">
        <f t="shared" si="34"/>
        <v>0</v>
      </c>
      <c r="K83" s="42"/>
      <c r="L83" s="42">
        <f t="shared" si="29"/>
        <v>0</v>
      </c>
      <c r="M83" s="42"/>
      <c r="N83" s="42"/>
      <c r="O83" s="100"/>
      <c r="P83" s="31"/>
      <c r="Q83" s="100"/>
      <c r="R83" s="100"/>
      <c r="S83" s="42"/>
      <c r="T83" s="12">
        <f t="shared" si="35"/>
        <v>0</v>
      </c>
      <c r="U83" s="45"/>
      <c r="V83" s="12">
        <f>+T83*0</f>
        <v>0</v>
      </c>
      <c r="W83" s="12">
        <f t="shared" si="36"/>
        <v>0</v>
      </c>
      <c r="X83" s="116"/>
      <c r="Y83" s="117">
        <f t="shared" si="37"/>
        <v>0</v>
      </c>
      <c r="Z83" s="12"/>
      <c r="AA83" s="12">
        <f t="shared" si="30"/>
        <v>0</v>
      </c>
      <c r="AB83" s="12"/>
      <c r="AC83" s="12">
        <f t="shared" si="31"/>
        <v>0</v>
      </c>
      <c r="AD83" s="42"/>
      <c r="AE83" s="12"/>
    </row>
    <row r="84" spans="1:31" s="46" customFormat="1" ht="21">
      <c r="A84" s="42"/>
      <c r="B84" s="42"/>
      <c r="C84" s="45"/>
      <c r="D84" s="45"/>
      <c r="E84" s="45"/>
      <c r="F84" s="47"/>
      <c r="G84" s="42"/>
      <c r="H84" s="42"/>
      <c r="I84" s="44"/>
      <c r="J84" s="44">
        <f t="shared" si="34"/>
        <v>0</v>
      </c>
      <c r="K84" s="42"/>
      <c r="L84" s="42">
        <f t="shared" si="29"/>
        <v>0</v>
      </c>
      <c r="M84" s="42"/>
      <c r="N84" s="42"/>
      <c r="O84" s="42"/>
      <c r="P84" s="31"/>
      <c r="Q84" s="42"/>
      <c r="R84" s="42"/>
      <c r="S84" s="42"/>
      <c r="T84" s="12">
        <f t="shared" si="35"/>
        <v>0</v>
      </c>
      <c r="U84" s="45"/>
      <c r="V84" s="12">
        <f>+T84*0</f>
        <v>0</v>
      </c>
      <c r="W84" s="12">
        <f t="shared" si="36"/>
        <v>0</v>
      </c>
      <c r="X84" s="116"/>
      <c r="Y84" s="117">
        <f t="shared" si="37"/>
        <v>0</v>
      </c>
      <c r="Z84" s="12"/>
      <c r="AA84" s="12">
        <f t="shared" si="30"/>
        <v>0</v>
      </c>
      <c r="AB84" s="12"/>
      <c r="AC84" s="12">
        <f t="shared" si="31"/>
        <v>0</v>
      </c>
      <c r="AD84" s="42"/>
      <c r="AE84" s="12"/>
    </row>
    <row r="85" spans="1:31" s="46" customFormat="1" ht="21">
      <c r="A85" s="42" t="s">
        <v>0</v>
      </c>
      <c r="B85" s="42" t="s">
        <v>1</v>
      </c>
      <c r="C85" s="45" t="s">
        <v>977</v>
      </c>
      <c r="D85" s="51" t="s">
        <v>599</v>
      </c>
      <c r="E85" s="30" t="s">
        <v>908</v>
      </c>
      <c r="F85" s="47" t="s">
        <v>137</v>
      </c>
      <c r="G85" s="42"/>
      <c r="H85" s="42"/>
      <c r="I85" s="44">
        <v>43.1</v>
      </c>
      <c r="J85" s="44">
        <f t="shared" si="34"/>
        <v>43.1</v>
      </c>
      <c r="K85" s="42">
        <v>90000</v>
      </c>
      <c r="L85" s="42">
        <f t="shared" si="29"/>
        <v>3879000</v>
      </c>
      <c r="M85" s="42"/>
      <c r="N85" s="42" t="s">
        <v>60</v>
      </c>
      <c r="O85" s="101" t="s">
        <v>446</v>
      </c>
      <c r="P85" s="45">
        <v>2</v>
      </c>
      <c r="Q85" s="100">
        <v>280</v>
      </c>
      <c r="R85" s="100"/>
      <c r="S85" s="42">
        <v>7550</v>
      </c>
      <c r="T85" s="12">
        <f t="shared" si="35"/>
        <v>2114000</v>
      </c>
      <c r="U85" s="102" t="s">
        <v>76</v>
      </c>
      <c r="V85" s="12">
        <f>+T85*0.14</f>
        <v>295960</v>
      </c>
      <c r="W85" s="12">
        <f t="shared" si="36"/>
        <v>1818040</v>
      </c>
      <c r="X85" s="116"/>
      <c r="Y85" s="117">
        <f t="shared" si="37"/>
        <v>5697040</v>
      </c>
      <c r="Z85" s="12">
        <f>+Y85</f>
        <v>5697040</v>
      </c>
      <c r="AA85" s="12">
        <f t="shared" si="30"/>
        <v>0</v>
      </c>
      <c r="AB85" s="12"/>
      <c r="AC85" s="12">
        <f t="shared" si="31"/>
        <v>0</v>
      </c>
      <c r="AD85" s="42" t="s">
        <v>906</v>
      </c>
      <c r="AE85" s="12"/>
    </row>
    <row r="86" spans="1:31" s="46" customFormat="1" ht="21">
      <c r="A86" s="42" t="s">
        <v>0</v>
      </c>
      <c r="B86" s="42" t="s">
        <v>1</v>
      </c>
      <c r="C86" s="45" t="s">
        <v>978</v>
      </c>
      <c r="D86" s="45" t="s">
        <v>600</v>
      </c>
      <c r="E86" s="29" t="s">
        <v>907</v>
      </c>
      <c r="F86" s="47" t="s">
        <v>137</v>
      </c>
      <c r="G86" s="42"/>
      <c r="H86" s="42"/>
      <c r="I86" s="44">
        <v>37.7</v>
      </c>
      <c r="J86" s="44">
        <f t="shared" si="34"/>
        <v>37.7</v>
      </c>
      <c r="K86" s="42">
        <v>18000</v>
      </c>
      <c r="L86" s="42">
        <f t="shared" si="29"/>
        <v>678600</v>
      </c>
      <c r="M86" s="42"/>
      <c r="N86" s="42" t="s">
        <v>114</v>
      </c>
      <c r="O86" s="101" t="s">
        <v>446</v>
      </c>
      <c r="P86" s="45">
        <v>2</v>
      </c>
      <c r="Q86" s="100">
        <v>104</v>
      </c>
      <c r="R86" s="100"/>
      <c r="S86" s="42">
        <v>7600</v>
      </c>
      <c r="T86" s="12">
        <f t="shared" si="35"/>
        <v>790400</v>
      </c>
      <c r="U86" s="102" t="s">
        <v>84</v>
      </c>
      <c r="V86" s="12">
        <f>+T86*0.2</f>
        <v>158080</v>
      </c>
      <c r="W86" s="12">
        <f t="shared" si="36"/>
        <v>632320</v>
      </c>
      <c r="X86" s="116"/>
      <c r="Y86" s="117">
        <f t="shared" si="37"/>
        <v>1310920</v>
      </c>
      <c r="Z86" s="12"/>
      <c r="AA86" s="12">
        <f t="shared" si="30"/>
        <v>1310920</v>
      </c>
      <c r="AB86" s="12">
        <v>0.02</v>
      </c>
      <c r="AC86" s="12">
        <f t="shared" si="31"/>
        <v>262.184</v>
      </c>
      <c r="AD86" s="42"/>
      <c r="AE86" s="12"/>
    </row>
    <row r="87" spans="1:31" s="46" customFormat="1" ht="21">
      <c r="A87" s="42" t="s">
        <v>0</v>
      </c>
      <c r="B87" s="42" t="s">
        <v>1</v>
      </c>
      <c r="C87" s="45" t="s">
        <v>979</v>
      </c>
      <c r="D87" s="51" t="s">
        <v>1784</v>
      </c>
      <c r="E87" s="10" t="s">
        <v>909</v>
      </c>
      <c r="F87" s="47" t="s">
        <v>143</v>
      </c>
      <c r="G87" s="42">
        <v>1</v>
      </c>
      <c r="H87" s="42">
        <v>1</v>
      </c>
      <c r="I87" s="44">
        <v>87.2</v>
      </c>
      <c r="J87" s="44">
        <f t="shared" si="34"/>
        <v>587.2</v>
      </c>
      <c r="K87" s="42">
        <v>15000</v>
      </c>
      <c r="L87" s="42">
        <f t="shared" si="29"/>
        <v>8808000</v>
      </c>
      <c r="M87" s="42"/>
      <c r="N87" s="42" t="s">
        <v>60</v>
      </c>
      <c r="O87" s="101" t="s">
        <v>446</v>
      </c>
      <c r="P87" s="45">
        <v>3</v>
      </c>
      <c r="Q87" s="100">
        <v>300</v>
      </c>
      <c r="R87" s="100"/>
      <c r="S87" s="42">
        <v>7550</v>
      </c>
      <c r="T87" s="12">
        <f t="shared" si="35"/>
        <v>2265000</v>
      </c>
      <c r="U87" s="102" t="s">
        <v>84</v>
      </c>
      <c r="V87" s="12">
        <f>+T87*0.2</f>
        <v>453000</v>
      </c>
      <c r="W87" s="12">
        <f t="shared" si="36"/>
        <v>1812000</v>
      </c>
      <c r="X87" s="116"/>
      <c r="Y87" s="117">
        <f t="shared" si="37"/>
        <v>10620000</v>
      </c>
      <c r="Z87" s="12"/>
      <c r="AA87" s="12">
        <f t="shared" si="30"/>
        <v>10620000</v>
      </c>
      <c r="AB87" s="12">
        <v>0.3</v>
      </c>
      <c r="AC87" s="12">
        <f t="shared" si="31"/>
        <v>31860</v>
      </c>
      <c r="AD87" s="42"/>
      <c r="AE87" s="12"/>
    </row>
    <row r="88" spans="1:31" s="46" customFormat="1" ht="21">
      <c r="A88" s="42" t="s">
        <v>0</v>
      </c>
      <c r="B88" s="42" t="s">
        <v>1</v>
      </c>
      <c r="C88" s="45" t="s">
        <v>980</v>
      </c>
      <c r="D88" s="45" t="s">
        <v>601</v>
      </c>
      <c r="E88" s="29" t="s">
        <v>907</v>
      </c>
      <c r="F88" s="47" t="s">
        <v>177</v>
      </c>
      <c r="G88" s="42"/>
      <c r="H88" s="42">
        <v>1</v>
      </c>
      <c r="I88" s="44">
        <v>9.3</v>
      </c>
      <c r="J88" s="44">
        <f t="shared" si="34"/>
        <v>109.3</v>
      </c>
      <c r="K88" s="42">
        <v>14500</v>
      </c>
      <c r="L88" s="42">
        <f t="shared" si="29"/>
        <v>1584850</v>
      </c>
      <c r="M88" s="42"/>
      <c r="N88" s="42"/>
      <c r="O88" s="42"/>
      <c r="P88" s="45"/>
      <c r="Q88" s="42"/>
      <c r="R88" s="100"/>
      <c r="S88" s="42"/>
      <c r="T88" s="12">
        <f t="shared" si="35"/>
        <v>0</v>
      </c>
      <c r="U88" s="45"/>
      <c r="V88" s="12">
        <f>+T88*0</f>
        <v>0</v>
      </c>
      <c r="W88" s="12">
        <f t="shared" si="36"/>
        <v>0</v>
      </c>
      <c r="X88" s="116"/>
      <c r="Y88" s="117">
        <f t="shared" si="37"/>
        <v>1584850</v>
      </c>
      <c r="Z88" s="12">
        <f>+Y88</f>
        <v>1584850</v>
      </c>
      <c r="AA88" s="12">
        <f t="shared" si="30"/>
        <v>0</v>
      </c>
      <c r="AB88" s="12"/>
      <c r="AC88" s="12">
        <f t="shared" si="31"/>
        <v>0</v>
      </c>
      <c r="AD88" s="42"/>
      <c r="AE88" s="12"/>
    </row>
    <row r="89" spans="1:31" s="46" customFormat="1" ht="21">
      <c r="A89" s="42" t="s">
        <v>0</v>
      </c>
      <c r="B89" s="42" t="s">
        <v>1</v>
      </c>
      <c r="C89" s="45" t="s">
        <v>981</v>
      </c>
      <c r="D89" s="45" t="s">
        <v>602</v>
      </c>
      <c r="E89" s="29" t="s">
        <v>907</v>
      </c>
      <c r="F89" s="47" t="s">
        <v>177</v>
      </c>
      <c r="G89" s="42"/>
      <c r="H89" s="42">
        <v>2</v>
      </c>
      <c r="I89" s="44">
        <v>21.2</v>
      </c>
      <c r="J89" s="44">
        <f t="shared" si="34"/>
        <v>221.2</v>
      </c>
      <c r="K89" s="42">
        <v>14500</v>
      </c>
      <c r="L89" s="42">
        <f>+K89*J89</f>
        <v>3207400</v>
      </c>
      <c r="M89" s="42"/>
      <c r="N89" s="42"/>
      <c r="O89" s="100"/>
      <c r="P89" s="45"/>
      <c r="Q89" s="100"/>
      <c r="R89" s="100"/>
      <c r="S89" s="42"/>
      <c r="T89" s="12">
        <f t="shared" si="35"/>
        <v>0</v>
      </c>
      <c r="U89" s="45"/>
      <c r="V89" s="12">
        <f>+T89*0</f>
        <v>0</v>
      </c>
      <c r="W89" s="12">
        <f t="shared" si="36"/>
        <v>0</v>
      </c>
      <c r="X89" s="116"/>
      <c r="Y89" s="117">
        <f t="shared" si="37"/>
        <v>3207400</v>
      </c>
      <c r="Z89" s="12">
        <f>+Y89</f>
        <v>3207400</v>
      </c>
      <c r="AA89" s="12">
        <f>+Y89-Z89</f>
        <v>0</v>
      </c>
      <c r="AB89" s="12"/>
      <c r="AC89" s="12">
        <f>+AA89*AB89/100</f>
        <v>0</v>
      </c>
      <c r="AD89" s="42"/>
      <c r="AE89" s="12"/>
    </row>
    <row r="90" spans="1:31" s="46" customFormat="1" ht="21">
      <c r="A90" s="42" t="s">
        <v>0</v>
      </c>
      <c r="B90" s="42" t="s">
        <v>1</v>
      </c>
      <c r="C90" s="45" t="s">
        <v>982</v>
      </c>
      <c r="D90" s="45" t="s">
        <v>603</v>
      </c>
      <c r="E90" s="30" t="s">
        <v>908</v>
      </c>
      <c r="F90" s="47" t="s">
        <v>137</v>
      </c>
      <c r="G90" s="42"/>
      <c r="H90" s="42"/>
      <c r="I90" s="44">
        <v>14.5</v>
      </c>
      <c r="J90" s="44">
        <f t="shared" si="34"/>
        <v>14.5</v>
      </c>
      <c r="K90" s="42">
        <v>20000</v>
      </c>
      <c r="L90" s="42">
        <f t="shared" si="29"/>
        <v>290000</v>
      </c>
      <c r="M90" s="42"/>
      <c r="N90" s="42" t="s">
        <v>60</v>
      </c>
      <c r="O90" s="101" t="s">
        <v>446</v>
      </c>
      <c r="P90" s="45">
        <v>2</v>
      </c>
      <c r="Q90" s="100">
        <v>80</v>
      </c>
      <c r="R90" s="100"/>
      <c r="S90" s="42">
        <v>7550</v>
      </c>
      <c r="T90" s="12">
        <f t="shared" si="35"/>
        <v>604000</v>
      </c>
      <c r="U90" s="102" t="s">
        <v>84</v>
      </c>
      <c r="V90" s="12">
        <f>+T90*0.2</f>
        <v>120800</v>
      </c>
      <c r="W90" s="12">
        <f t="shared" si="36"/>
        <v>483200</v>
      </c>
      <c r="X90" s="116"/>
      <c r="Y90" s="117">
        <f t="shared" si="37"/>
        <v>773200</v>
      </c>
      <c r="Z90" s="12"/>
      <c r="AA90" s="12">
        <f t="shared" si="30"/>
        <v>773200</v>
      </c>
      <c r="AB90" s="12">
        <v>0.02</v>
      </c>
      <c r="AC90" s="12">
        <f t="shared" si="31"/>
        <v>154.64</v>
      </c>
      <c r="AD90" s="42"/>
      <c r="AE90" s="12"/>
    </row>
    <row r="91" spans="1:31" s="46" customFormat="1" ht="21">
      <c r="A91" s="42"/>
      <c r="B91" s="42"/>
      <c r="C91" s="45"/>
      <c r="D91" s="45"/>
      <c r="E91" s="45"/>
      <c r="F91" s="47"/>
      <c r="G91" s="42"/>
      <c r="H91" s="42"/>
      <c r="I91" s="44"/>
      <c r="J91" s="44">
        <f t="shared" si="34"/>
        <v>0</v>
      </c>
      <c r="K91" s="42"/>
      <c r="L91" s="42">
        <f t="shared" si="29"/>
        <v>0</v>
      </c>
      <c r="M91" s="42"/>
      <c r="N91" s="42"/>
      <c r="O91" s="100"/>
      <c r="P91" s="31"/>
      <c r="Q91" s="100"/>
      <c r="R91" s="100"/>
      <c r="S91" s="42"/>
      <c r="T91" s="12">
        <f t="shared" si="35"/>
        <v>0</v>
      </c>
      <c r="U91" s="45"/>
      <c r="V91" s="12">
        <f>+T91*0</f>
        <v>0</v>
      </c>
      <c r="W91" s="12">
        <f t="shared" si="36"/>
        <v>0</v>
      </c>
      <c r="X91" s="116"/>
      <c r="Y91" s="117">
        <f t="shared" si="37"/>
        <v>0</v>
      </c>
      <c r="Z91" s="12"/>
      <c r="AA91" s="12">
        <f t="shared" si="30"/>
        <v>0</v>
      </c>
      <c r="AB91" s="12"/>
      <c r="AC91" s="12">
        <f t="shared" si="31"/>
        <v>0</v>
      </c>
      <c r="AD91" s="42"/>
      <c r="AE91" s="12"/>
    </row>
    <row r="92" spans="1:31" s="46" customFormat="1" ht="21">
      <c r="A92" s="42"/>
      <c r="B92" s="42"/>
      <c r="C92" s="45"/>
      <c r="D92" s="45"/>
      <c r="E92" s="45"/>
      <c r="F92" s="47"/>
      <c r="G92" s="42"/>
      <c r="H92" s="42"/>
      <c r="I92" s="44"/>
      <c r="J92" s="44">
        <f t="shared" si="34"/>
        <v>0</v>
      </c>
      <c r="K92" s="42"/>
      <c r="L92" s="42">
        <f t="shared" si="29"/>
        <v>0</v>
      </c>
      <c r="M92" s="42"/>
      <c r="N92" s="42"/>
      <c r="O92" s="42"/>
      <c r="P92" s="31"/>
      <c r="Q92" s="42"/>
      <c r="R92" s="42"/>
      <c r="S92" s="42"/>
      <c r="T92" s="12">
        <f t="shared" si="35"/>
        <v>0</v>
      </c>
      <c r="U92" s="45"/>
      <c r="V92" s="12">
        <f>+T92*0</f>
        <v>0</v>
      </c>
      <c r="W92" s="12">
        <f t="shared" si="36"/>
        <v>0</v>
      </c>
      <c r="X92" s="116"/>
      <c r="Y92" s="117">
        <f t="shared" si="37"/>
        <v>0</v>
      </c>
      <c r="Z92" s="12"/>
      <c r="AA92" s="12">
        <f t="shared" si="30"/>
        <v>0</v>
      </c>
      <c r="AB92" s="12"/>
      <c r="AC92" s="12">
        <f t="shared" si="31"/>
        <v>0</v>
      </c>
      <c r="AD92" s="42"/>
      <c r="AE92" s="12"/>
    </row>
    <row r="93" spans="1:31" s="46" customFormat="1" ht="21">
      <c r="A93" s="42" t="s">
        <v>0</v>
      </c>
      <c r="B93" s="42" t="s">
        <v>1</v>
      </c>
      <c r="C93" s="45" t="s">
        <v>983</v>
      </c>
      <c r="D93" s="45" t="s">
        <v>604</v>
      </c>
      <c r="E93" s="30" t="s">
        <v>908</v>
      </c>
      <c r="F93" s="47" t="s">
        <v>143</v>
      </c>
      <c r="G93" s="42"/>
      <c r="H93" s="42"/>
      <c r="I93" s="44">
        <v>16.1</v>
      </c>
      <c r="J93" s="44">
        <f t="shared" si="34"/>
        <v>16.1</v>
      </c>
      <c r="K93" s="42">
        <v>100000</v>
      </c>
      <c r="L93" s="42">
        <f>+K93*J93</f>
        <v>1610000.0000000002</v>
      </c>
      <c r="M93" s="42"/>
      <c r="N93" s="42" t="s">
        <v>60</v>
      </c>
      <c r="O93" s="101" t="s">
        <v>446</v>
      </c>
      <c r="P93" s="45">
        <v>3</v>
      </c>
      <c r="Q93" s="100">
        <v>217</v>
      </c>
      <c r="R93" s="100"/>
      <c r="S93" s="42">
        <v>7550</v>
      </c>
      <c r="T93" s="12">
        <f t="shared" si="35"/>
        <v>1638350</v>
      </c>
      <c r="U93" s="102" t="s">
        <v>84</v>
      </c>
      <c r="V93" s="12">
        <f>+T93*0.2</f>
        <v>327670</v>
      </c>
      <c r="W93" s="12">
        <f t="shared" si="36"/>
        <v>1310680</v>
      </c>
      <c r="X93" s="116"/>
      <c r="Y93" s="117">
        <f t="shared" si="37"/>
        <v>2920680</v>
      </c>
      <c r="Z93" s="12"/>
      <c r="AA93" s="12">
        <f>+Y93-Z93</f>
        <v>2920680</v>
      </c>
      <c r="AB93" s="12">
        <v>0.3</v>
      </c>
      <c r="AC93" s="12">
        <f>+AA93*AB93/100</f>
        <v>8762.04</v>
      </c>
      <c r="AD93" s="12" t="s">
        <v>984</v>
      </c>
      <c r="AE93" s="12"/>
    </row>
    <row r="94" spans="1:31" s="46" customFormat="1" ht="21">
      <c r="A94" s="42"/>
      <c r="B94" s="42"/>
      <c r="C94" s="45"/>
      <c r="D94" s="45"/>
      <c r="E94" s="45"/>
      <c r="F94" s="47"/>
      <c r="G94" s="42"/>
      <c r="H94" s="42"/>
      <c r="I94" s="44"/>
      <c r="J94" s="44">
        <f t="shared" si="34"/>
        <v>0</v>
      </c>
      <c r="K94" s="42"/>
      <c r="L94" s="42">
        <f>+K94*J94</f>
        <v>0</v>
      </c>
      <c r="M94" s="42"/>
      <c r="N94" s="42"/>
      <c r="O94" s="100"/>
      <c r="P94" s="31"/>
      <c r="Q94" s="100"/>
      <c r="R94" s="100"/>
      <c r="S94" s="42"/>
      <c r="T94" s="12">
        <f t="shared" si="35"/>
        <v>0</v>
      </c>
      <c r="U94" s="45"/>
      <c r="V94" s="12">
        <f>+T94*0</f>
        <v>0</v>
      </c>
      <c r="W94" s="12">
        <f t="shared" si="36"/>
        <v>0</v>
      </c>
      <c r="X94" s="116"/>
      <c r="Y94" s="117">
        <f t="shared" si="37"/>
        <v>0</v>
      </c>
      <c r="Z94" s="12"/>
      <c r="AA94" s="12">
        <f>+Y94-Z94</f>
        <v>0</v>
      </c>
      <c r="AB94" s="12"/>
      <c r="AC94" s="12">
        <f>+AA94*AB94/100</f>
        <v>0</v>
      </c>
      <c r="AD94" s="42"/>
      <c r="AE94" s="12"/>
    </row>
    <row r="95" spans="1:31" s="46" customFormat="1" ht="21">
      <c r="A95" s="42"/>
      <c r="B95" s="42"/>
      <c r="C95" s="45"/>
      <c r="D95" s="45"/>
      <c r="E95" s="45"/>
      <c r="F95" s="47"/>
      <c r="G95" s="42"/>
      <c r="H95" s="42"/>
      <c r="I95" s="44"/>
      <c r="J95" s="44">
        <f t="shared" si="34"/>
        <v>0</v>
      </c>
      <c r="K95" s="42"/>
      <c r="L95" s="42">
        <f t="shared" si="29"/>
        <v>0</v>
      </c>
      <c r="M95" s="42"/>
      <c r="N95" s="42"/>
      <c r="O95" s="42"/>
      <c r="P95" s="31"/>
      <c r="Q95" s="42"/>
      <c r="R95" s="42"/>
      <c r="S95" s="42"/>
      <c r="T95" s="12">
        <f t="shared" si="35"/>
        <v>0</v>
      </c>
      <c r="U95" s="45"/>
      <c r="V95" s="12">
        <f>+T95*0</f>
        <v>0</v>
      </c>
      <c r="W95" s="12">
        <f t="shared" si="36"/>
        <v>0</v>
      </c>
      <c r="X95" s="116"/>
      <c r="Y95" s="117">
        <f t="shared" si="37"/>
        <v>0</v>
      </c>
      <c r="Z95" s="12"/>
      <c r="AA95" s="12">
        <f t="shared" si="30"/>
        <v>0</v>
      </c>
      <c r="AB95" s="12"/>
      <c r="AC95" s="12">
        <f t="shared" si="31"/>
        <v>0</v>
      </c>
      <c r="AD95" s="42"/>
      <c r="AE95" s="12"/>
    </row>
    <row r="96" spans="1:31" s="46" customFormat="1" ht="21">
      <c r="A96" s="42" t="s">
        <v>0</v>
      </c>
      <c r="B96" s="42" t="s">
        <v>1</v>
      </c>
      <c r="C96" s="45" t="s">
        <v>985</v>
      </c>
      <c r="D96" s="45" t="s">
        <v>605</v>
      </c>
      <c r="E96" s="30" t="s">
        <v>908</v>
      </c>
      <c r="F96" s="47" t="s">
        <v>167</v>
      </c>
      <c r="G96" s="42"/>
      <c r="H96" s="42">
        <v>2</v>
      </c>
      <c r="I96" s="44">
        <v>6.3</v>
      </c>
      <c r="J96" s="44">
        <f t="shared" si="34"/>
        <v>206.3</v>
      </c>
      <c r="K96" s="42">
        <v>40000</v>
      </c>
      <c r="L96" s="42">
        <f t="shared" si="29"/>
        <v>8252000</v>
      </c>
      <c r="M96" s="42">
        <v>1</v>
      </c>
      <c r="N96" s="42" t="s">
        <v>60</v>
      </c>
      <c r="O96" s="101" t="s">
        <v>446</v>
      </c>
      <c r="P96" s="45">
        <v>2</v>
      </c>
      <c r="Q96" s="100">
        <v>437</v>
      </c>
      <c r="R96" s="100">
        <v>91.62</v>
      </c>
      <c r="S96" s="42">
        <v>7550</v>
      </c>
      <c r="T96" s="12">
        <f t="shared" si="35"/>
        <v>3299350</v>
      </c>
      <c r="U96" s="102" t="s">
        <v>84</v>
      </c>
      <c r="V96" s="12">
        <f>+T96*0.2</f>
        <v>659870</v>
      </c>
      <c r="W96" s="12">
        <f t="shared" si="36"/>
        <v>2639480</v>
      </c>
      <c r="X96" s="116"/>
      <c r="Y96" s="117">
        <f>+L96*(R96/100)+W96</f>
        <v>10199962.4</v>
      </c>
      <c r="Z96" s="12"/>
      <c r="AA96" s="12">
        <f t="shared" si="30"/>
        <v>10199962.4</v>
      </c>
      <c r="AB96" s="12">
        <v>0.02</v>
      </c>
      <c r="AC96" s="12">
        <f t="shared" si="31"/>
        <v>2039.9924800000001</v>
      </c>
      <c r="AD96" s="42"/>
      <c r="AE96" s="12"/>
    </row>
    <row r="97" spans="1:31" s="46" customFormat="1" ht="21">
      <c r="A97" s="42" t="s">
        <v>0</v>
      </c>
      <c r="B97" s="42"/>
      <c r="C97" s="45"/>
      <c r="D97" s="45"/>
      <c r="E97" s="45"/>
      <c r="F97" s="47"/>
      <c r="G97" s="42"/>
      <c r="H97" s="42"/>
      <c r="I97" s="44"/>
      <c r="J97" s="44">
        <f t="shared" si="34"/>
        <v>0</v>
      </c>
      <c r="K97" s="42"/>
      <c r="L97" s="42">
        <f t="shared" si="29"/>
        <v>0</v>
      </c>
      <c r="M97" s="42">
        <v>2</v>
      </c>
      <c r="N97" s="42" t="s">
        <v>60</v>
      </c>
      <c r="O97" s="101" t="s">
        <v>446</v>
      </c>
      <c r="P97" s="45">
        <v>3</v>
      </c>
      <c r="Q97" s="100">
        <v>40</v>
      </c>
      <c r="R97" s="100">
        <v>8.38</v>
      </c>
      <c r="S97" s="42">
        <v>7550</v>
      </c>
      <c r="T97" s="12">
        <f t="shared" si="35"/>
        <v>302000</v>
      </c>
      <c r="U97" s="102" t="s">
        <v>84</v>
      </c>
      <c r="V97" s="12">
        <f>+T97*0.2</f>
        <v>60400</v>
      </c>
      <c r="W97" s="12">
        <f t="shared" si="36"/>
        <v>241600</v>
      </c>
      <c r="X97" s="116"/>
      <c r="Y97" s="117">
        <f>+L96*(R97/100)+W97</f>
        <v>933117.6000000001</v>
      </c>
      <c r="Z97" s="12"/>
      <c r="AA97" s="12">
        <f t="shared" si="30"/>
        <v>933117.6000000001</v>
      </c>
      <c r="AB97" s="12">
        <v>0.3</v>
      </c>
      <c r="AC97" s="12">
        <f t="shared" si="31"/>
        <v>2799.3528</v>
      </c>
      <c r="AD97" s="42"/>
      <c r="AE97" s="12"/>
    </row>
    <row r="98" spans="1:31" s="46" customFormat="1" ht="21">
      <c r="A98" s="42"/>
      <c r="B98" s="42"/>
      <c r="C98" s="45"/>
      <c r="D98" s="45"/>
      <c r="E98" s="45"/>
      <c r="F98" s="47"/>
      <c r="G98" s="42"/>
      <c r="H98" s="42"/>
      <c r="I98" s="44"/>
      <c r="J98" s="44">
        <f t="shared" si="34"/>
        <v>0</v>
      </c>
      <c r="K98" s="42"/>
      <c r="L98" s="42">
        <f t="shared" si="29"/>
        <v>0</v>
      </c>
      <c r="M98" s="42"/>
      <c r="N98" s="42"/>
      <c r="O98" s="100"/>
      <c r="P98" s="31"/>
      <c r="Q98" s="100"/>
      <c r="R98" s="100"/>
      <c r="S98" s="42"/>
      <c r="T98" s="12">
        <f t="shared" si="35"/>
        <v>0</v>
      </c>
      <c r="U98" s="45"/>
      <c r="V98" s="12">
        <f>+T98*0</f>
        <v>0</v>
      </c>
      <c r="W98" s="12">
        <f t="shared" si="36"/>
        <v>0</v>
      </c>
      <c r="X98" s="116"/>
      <c r="Y98" s="117">
        <f t="shared" si="37"/>
        <v>0</v>
      </c>
      <c r="Z98" s="12"/>
      <c r="AA98" s="12">
        <f t="shared" si="30"/>
        <v>0</v>
      </c>
      <c r="AB98" s="12"/>
      <c r="AC98" s="12">
        <f t="shared" si="31"/>
        <v>0</v>
      </c>
      <c r="AD98" s="42"/>
      <c r="AE98" s="12"/>
    </row>
    <row r="99" spans="1:31" s="46" customFormat="1" ht="21">
      <c r="A99" s="42"/>
      <c r="B99" s="42"/>
      <c r="C99" s="45"/>
      <c r="D99" s="45"/>
      <c r="E99" s="45"/>
      <c r="F99" s="47"/>
      <c r="G99" s="42"/>
      <c r="H99" s="42"/>
      <c r="I99" s="44"/>
      <c r="J99" s="44">
        <f t="shared" si="34"/>
        <v>0</v>
      </c>
      <c r="K99" s="42"/>
      <c r="L99" s="42">
        <f t="shared" si="29"/>
        <v>0</v>
      </c>
      <c r="M99" s="42"/>
      <c r="N99" s="42"/>
      <c r="O99" s="42"/>
      <c r="P99" s="31"/>
      <c r="Q99" s="42"/>
      <c r="R99" s="42"/>
      <c r="S99" s="42"/>
      <c r="T99" s="12">
        <f t="shared" si="35"/>
        <v>0</v>
      </c>
      <c r="U99" s="45"/>
      <c r="V99" s="12">
        <f>+T99*0</f>
        <v>0</v>
      </c>
      <c r="W99" s="12">
        <f t="shared" si="36"/>
        <v>0</v>
      </c>
      <c r="X99" s="116"/>
      <c r="Y99" s="117">
        <f t="shared" si="37"/>
        <v>0</v>
      </c>
      <c r="Z99" s="12"/>
      <c r="AA99" s="12">
        <f t="shared" si="30"/>
        <v>0</v>
      </c>
      <c r="AB99" s="12"/>
      <c r="AC99" s="12">
        <f t="shared" si="31"/>
        <v>0</v>
      </c>
      <c r="AD99" s="42"/>
      <c r="AE99" s="12"/>
    </row>
    <row r="100" spans="1:31" s="46" customFormat="1" ht="21">
      <c r="A100" s="42" t="s">
        <v>0</v>
      </c>
      <c r="B100" s="42" t="s">
        <v>1</v>
      </c>
      <c r="C100" s="45" t="s">
        <v>986</v>
      </c>
      <c r="D100" s="45" t="s">
        <v>606</v>
      </c>
      <c r="E100" s="29" t="s">
        <v>907</v>
      </c>
      <c r="F100" s="47" t="s">
        <v>137</v>
      </c>
      <c r="G100" s="42"/>
      <c r="H100" s="42">
        <v>1</v>
      </c>
      <c r="I100" s="44">
        <v>33.4</v>
      </c>
      <c r="J100" s="44">
        <f t="shared" si="34"/>
        <v>133.4</v>
      </c>
      <c r="K100" s="42">
        <v>27500</v>
      </c>
      <c r="L100" s="42">
        <f t="shared" si="29"/>
        <v>3668500</v>
      </c>
      <c r="M100" s="42"/>
      <c r="N100" s="42" t="s">
        <v>60</v>
      </c>
      <c r="O100" s="101" t="s">
        <v>446</v>
      </c>
      <c r="P100" s="45">
        <v>2</v>
      </c>
      <c r="Q100" s="100">
        <v>120</v>
      </c>
      <c r="R100" s="100"/>
      <c r="S100" s="42">
        <v>7550</v>
      </c>
      <c r="T100" s="12">
        <f t="shared" si="35"/>
        <v>906000</v>
      </c>
      <c r="U100" s="102" t="s">
        <v>84</v>
      </c>
      <c r="V100" s="12">
        <f>+T100*0.2</f>
        <v>181200</v>
      </c>
      <c r="W100" s="12">
        <f t="shared" si="36"/>
        <v>724800</v>
      </c>
      <c r="X100" s="116"/>
      <c r="Y100" s="117">
        <f aca="true" t="shared" si="38" ref="Y100:Y121">+L100+W100</f>
        <v>4393300</v>
      </c>
      <c r="Z100" s="12"/>
      <c r="AA100" s="12">
        <f t="shared" si="30"/>
        <v>4393300</v>
      </c>
      <c r="AB100" s="12">
        <v>0.02</v>
      </c>
      <c r="AC100" s="12">
        <f t="shared" si="31"/>
        <v>878.66</v>
      </c>
      <c r="AD100" s="42"/>
      <c r="AE100" s="12"/>
    </row>
    <row r="101" spans="1:31" s="46" customFormat="1" ht="21">
      <c r="A101" s="42"/>
      <c r="B101" s="42"/>
      <c r="C101" s="45"/>
      <c r="D101" s="45"/>
      <c r="E101" s="45"/>
      <c r="F101" s="47"/>
      <c r="G101" s="42"/>
      <c r="H101" s="42"/>
      <c r="I101" s="44"/>
      <c r="J101" s="44">
        <f t="shared" si="34"/>
        <v>0</v>
      </c>
      <c r="K101" s="42"/>
      <c r="L101" s="42">
        <f t="shared" si="29"/>
        <v>0</v>
      </c>
      <c r="M101" s="42"/>
      <c r="N101" s="42"/>
      <c r="O101" s="42"/>
      <c r="P101" s="31"/>
      <c r="Q101" s="42"/>
      <c r="R101" s="42"/>
      <c r="S101" s="42"/>
      <c r="T101" s="12">
        <f t="shared" si="35"/>
        <v>0</v>
      </c>
      <c r="U101" s="45"/>
      <c r="V101" s="12">
        <f>+T101*0</f>
        <v>0</v>
      </c>
      <c r="W101" s="12">
        <f t="shared" si="36"/>
        <v>0</v>
      </c>
      <c r="X101" s="116"/>
      <c r="Y101" s="117">
        <f t="shared" si="38"/>
        <v>0</v>
      </c>
      <c r="Z101" s="12"/>
      <c r="AA101" s="12">
        <f t="shared" si="30"/>
        <v>0</v>
      </c>
      <c r="AB101" s="12"/>
      <c r="AC101" s="12">
        <f t="shared" si="31"/>
        <v>0</v>
      </c>
      <c r="AD101" s="42"/>
      <c r="AE101" s="12"/>
    </row>
    <row r="102" spans="1:31" s="46" customFormat="1" ht="21">
      <c r="A102" s="42"/>
      <c r="B102" s="42"/>
      <c r="C102" s="45"/>
      <c r="D102" s="45"/>
      <c r="E102" s="45"/>
      <c r="F102" s="47"/>
      <c r="G102" s="42"/>
      <c r="H102" s="42"/>
      <c r="I102" s="44"/>
      <c r="J102" s="44">
        <f t="shared" si="34"/>
        <v>0</v>
      </c>
      <c r="K102" s="42"/>
      <c r="L102" s="42">
        <f t="shared" si="29"/>
        <v>0</v>
      </c>
      <c r="M102" s="42"/>
      <c r="N102" s="42"/>
      <c r="O102" s="42"/>
      <c r="P102" s="31"/>
      <c r="Q102" s="42"/>
      <c r="R102" s="42"/>
      <c r="S102" s="42"/>
      <c r="T102" s="12">
        <f t="shared" si="35"/>
        <v>0</v>
      </c>
      <c r="U102" s="45"/>
      <c r="V102" s="12">
        <f>+T102*0</f>
        <v>0</v>
      </c>
      <c r="W102" s="12">
        <f t="shared" si="36"/>
        <v>0</v>
      </c>
      <c r="X102" s="116"/>
      <c r="Y102" s="117">
        <f t="shared" si="38"/>
        <v>0</v>
      </c>
      <c r="Z102" s="12"/>
      <c r="AA102" s="12">
        <f t="shared" si="30"/>
        <v>0</v>
      </c>
      <c r="AB102" s="12"/>
      <c r="AC102" s="12">
        <f t="shared" si="31"/>
        <v>0</v>
      </c>
      <c r="AD102" s="42"/>
      <c r="AE102" s="12"/>
    </row>
    <row r="103" spans="1:31" s="46" customFormat="1" ht="21">
      <c r="A103" s="42" t="s">
        <v>0</v>
      </c>
      <c r="B103" s="42" t="s">
        <v>1</v>
      </c>
      <c r="C103" s="45" t="s">
        <v>987</v>
      </c>
      <c r="D103" s="45" t="s">
        <v>607</v>
      </c>
      <c r="E103" s="29" t="s">
        <v>907</v>
      </c>
      <c r="F103" s="47" t="s">
        <v>143</v>
      </c>
      <c r="G103" s="42"/>
      <c r="H103" s="42"/>
      <c r="I103" s="44">
        <v>20</v>
      </c>
      <c r="J103" s="44">
        <f t="shared" si="34"/>
        <v>20</v>
      </c>
      <c r="K103" s="42">
        <v>40000</v>
      </c>
      <c r="L103" s="42">
        <f t="shared" si="29"/>
        <v>800000</v>
      </c>
      <c r="M103" s="42"/>
      <c r="N103" s="42" t="s">
        <v>60</v>
      </c>
      <c r="O103" s="101" t="s">
        <v>446</v>
      </c>
      <c r="P103" s="45">
        <v>3</v>
      </c>
      <c r="Q103" s="100">
        <v>80</v>
      </c>
      <c r="R103" s="100"/>
      <c r="S103" s="42">
        <v>7550</v>
      </c>
      <c r="T103" s="12">
        <f t="shared" si="35"/>
        <v>604000</v>
      </c>
      <c r="U103" s="102" t="s">
        <v>83</v>
      </c>
      <c r="V103" s="12">
        <f>+T103*0.18</f>
        <v>108720</v>
      </c>
      <c r="W103" s="12">
        <f t="shared" si="36"/>
        <v>495280</v>
      </c>
      <c r="X103" s="116"/>
      <c r="Y103" s="117">
        <f t="shared" si="38"/>
        <v>1295280</v>
      </c>
      <c r="Z103" s="12"/>
      <c r="AA103" s="12">
        <f t="shared" si="30"/>
        <v>1295280</v>
      </c>
      <c r="AB103" s="12">
        <v>0.3</v>
      </c>
      <c r="AC103" s="12">
        <f t="shared" si="31"/>
        <v>3885.84</v>
      </c>
      <c r="AD103" s="42"/>
      <c r="AE103" s="12"/>
    </row>
    <row r="104" spans="1:31" s="46" customFormat="1" ht="21">
      <c r="A104" s="42" t="s">
        <v>0</v>
      </c>
      <c r="B104" s="42" t="s">
        <v>1</v>
      </c>
      <c r="C104" s="45" t="s">
        <v>988</v>
      </c>
      <c r="D104" s="45" t="s">
        <v>608</v>
      </c>
      <c r="E104" s="29" t="s">
        <v>907</v>
      </c>
      <c r="F104" s="47" t="s">
        <v>137</v>
      </c>
      <c r="G104" s="42"/>
      <c r="H104" s="42"/>
      <c r="I104" s="44">
        <v>57.8</v>
      </c>
      <c r="J104" s="44">
        <f t="shared" si="34"/>
        <v>57.8</v>
      </c>
      <c r="K104" s="42">
        <v>15000</v>
      </c>
      <c r="L104" s="42">
        <f t="shared" si="29"/>
        <v>867000</v>
      </c>
      <c r="M104" s="42"/>
      <c r="N104" s="42" t="s">
        <v>64</v>
      </c>
      <c r="O104" s="101" t="s">
        <v>446</v>
      </c>
      <c r="P104" s="45">
        <v>2</v>
      </c>
      <c r="Q104" s="100">
        <f>88+28.4</f>
        <v>116.4</v>
      </c>
      <c r="R104" s="100"/>
      <c r="S104" s="42">
        <v>6550</v>
      </c>
      <c r="T104" s="12">
        <f t="shared" si="35"/>
        <v>762420</v>
      </c>
      <c r="U104" s="102" t="s">
        <v>84</v>
      </c>
      <c r="V104" s="12">
        <f>+T104*0.2</f>
        <v>152484</v>
      </c>
      <c r="W104" s="12">
        <f t="shared" si="36"/>
        <v>609936</v>
      </c>
      <c r="X104" s="116"/>
      <c r="Y104" s="117">
        <f t="shared" si="38"/>
        <v>1476936</v>
      </c>
      <c r="Z104" s="12"/>
      <c r="AA104" s="12">
        <f t="shared" si="30"/>
        <v>1476936</v>
      </c>
      <c r="AB104" s="12">
        <v>0.02</v>
      </c>
      <c r="AC104" s="12">
        <f t="shared" si="31"/>
        <v>295.3872</v>
      </c>
      <c r="AD104" s="42"/>
      <c r="AE104" s="12"/>
    </row>
    <row r="105" spans="1:31" s="46" customFormat="1" ht="21">
      <c r="A105" s="42"/>
      <c r="B105" s="42"/>
      <c r="C105" s="45"/>
      <c r="D105" s="45"/>
      <c r="E105" s="45"/>
      <c r="F105" s="47"/>
      <c r="G105" s="42"/>
      <c r="H105" s="42"/>
      <c r="I105" s="44"/>
      <c r="J105" s="44">
        <f t="shared" si="34"/>
        <v>0</v>
      </c>
      <c r="K105" s="42"/>
      <c r="L105" s="42">
        <f t="shared" si="29"/>
        <v>0</v>
      </c>
      <c r="M105" s="42"/>
      <c r="N105" s="42"/>
      <c r="O105" s="42"/>
      <c r="P105" s="31"/>
      <c r="Q105" s="42"/>
      <c r="R105" s="42"/>
      <c r="S105" s="42"/>
      <c r="T105" s="12">
        <f t="shared" si="35"/>
        <v>0</v>
      </c>
      <c r="U105" s="45"/>
      <c r="V105" s="12">
        <f>+T105*0</f>
        <v>0</v>
      </c>
      <c r="W105" s="12">
        <f t="shared" si="36"/>
        <v>0</v>
      </c>
      <c r="X105" s="116"/>
      <c r="Y105" s="117">
        <f t="shared" si="38"/>
        <v>0</v>
      </c>
      <c r="Z105" s="12"/>
      <c r="AA105" s="12">
        <f t="shared" si="30"/>
        <v>0</v>
      </c>
      <c r="AB105" s="12"/>
      <c r="AC105" s="12">
        <f t="shared" si="31"/>
        <v>0</v>
      </c>
      <c r="AD105" s="42"/>
      <c r="AE105" s="12"/>
    </row>
    <row r="106" spans="1:31" s="46" customFormat="1" ht="21">
      <c r="A106" s="42"/>
      <c r="B106" s="42"/>
      <c r="C106" s="45"/>
      <c r="D106" s="45"/>
      <c r="E106" s="45"/>
      <c r="F106" s="47"/>
      <c r="G106" s="42"/>
      <c r="H106" s="42"/>
      <c r="I106" s="44"/>
      <c r="J106" s="44">
        <f t="shared" si="34"/>
        <v>0</v>
      </c>
      <c r="K106" s="42"/>
      <c r="L106" s="42">
        <f t="shared" si="29"/>
        <v>0</v>
      </c>
      <c r="M106" s="42"/>
      <c r="N106" s="42"/>
      <c r="O106" s="42"/>
      <c r="P106" s="31"/>
      <c r="Q106" s="42"/>
      <c r="R106" s="42"/>
      <c r="S106" s="42"/>
      <c r="T106" s="12">
        <f t="shared" si="35"/>
        <v>0</v>
      </c>
      <c r="U106" s="45"/>
      <c r="V106" s="12">
        <f>+T106*0</f>
        <v>0</v>
      </c>
      <c r="W106" s="12">
        <f t="shared" si="36"/>
        <v>0</v>
      </c>
      <c r="X106" s="116"/>
      <c r="Y106" s="117">
        <f t="shared" si="38"/>
        <v>0</v>
      </c>
      <c r="Z106" s="12"/>
      <c r="AA106" s="12">
        <f t="shared" si="30"/>
        <v>0</v>
      </c>
      <c r="AB106" s="12"/>
      <c r="AC106" s="12">
        <f t="shared" si="31"/>
        <v>0</v>
      </c>
      <c r="AD106" s="42"/>
      <c r="AE106" s="12"/>
    </row>
    <row r="107" spans="1:31" s="46" customFormat="1" ht="21">
      <c r="A107" s="42" t="s">
        <v>0</v>
      </c>
      <c r="B107" s="42" t="s">
        <v>1</v>
      </c>
      <c r="C107" s="45" t="s">
        <v>989</v>
      </c>
      <c r="D107" s="45" t="s">
        <v>609</v>
      </c>
      <c r="E107" s="30" t="s">
        <v>908</v>
      </c>
      <c r="F107" s="47" t="s">
        <v>137</v>
      </c>
      <c r="G107" s="42"/>
      <c r="H107" s="42"/>
      <c r="I107" s="44">
        <v>60</v>
      </c>
      <c r="J107" s="44">
        <f aca="true" t="shared" si="39" ref="J107:J113">+I107+(H107*100)+(G107*400)</f>
        <v>60</v>
      </c>
      <c r="K107" s="42">
        <v>15000</v>
      </c>
      <c r="L107" s="42">
        <f t="shared" si="29"/>
        <v>900000</v>
      </c>
      <c r="M107" s="42"/>
      <c r="N107" s="42" t="s">
        <v>64</v>
      </c>
      <c r="O107" s="101" t="s">
        <v>446</v>
      </c>
      <c r="P107" s="45">
        <v>2</v>
      </c>
      <c r="Q107" s="100">
        <v>32</v>
      </c>
      <c r="R107" s="100"/>
      <c r="S107" s="42">
        <v>6550</v>
      </c>
      <c r="T107" s="12">
        <f aca="true" t="shared" si="40" ref="T107:T113">+Q107*S107</f>
        <v>209600</v>
      </c>
      <c r="U107" s="102" t="s">
        <v>86</v>
      </c>
      <c r="V107" s="12">
        <f>+T107*0.26</f>
        <v>54496</v>
      </c>
      <c r="W107" s="12">
        <f aca="true" t="shared" si="41" ref="W107:W113">+T107-V107</f>
        <v>155104</v>
      </c>
      <c r="X107" s="116"/>
      <c r="Y107" s="117">
        <f t="shared" si="38"/>
        <v>1055104</v>
      </c>
      <c r="Z107" s="12"/>
      <c r="AA107" s="12">
        <f t="shared" si="30"/>
        <v>1055104</v>
      </c>
      <c r="AB107" s="12">
        <v>0.02</v>
      </c>
      <c r="AC107" s="12">
        <f t="shared" si="31"/>
        <v>211.0208</v>
      </c>
      <c r="AD107" s="42"/>
      <c r="AE107" s="12"/>
    </row>
    <row r="108" spans="1:31" s="46" customFormat="1" ht="21">
      <c r="A108" s="42" t="s">
        <v>0</v>
      </c>
      <c r="B108" s="42" t="s">
        <v>1</v>
      </c>
      <c r="C108" s="45" t="s">
        <v>990</v>
      </c>
      <c r="D108" s="51" t="s">
        <v>610</v>
      </c>
      <c r="E108" s="10" t="s">
        <v>909</v>
      </c>
      <c r="F108" s="47" t="s">
        <v>137</v>
      </c>
      <c r="G108" s="42"/>
      <c r="H108" s="42"/>
      <c r="I108" s="44">
        <v>32.7</v>
      </c>
      <c r="J108" s="44">
        <f t="shared" si="39"/>
        <v>32.7</v>
      </c>
      <c r="K108" s="105">
        <v>15000</v>
      </c>
      <c r="L108" s="42">
        <f>+K108*J108</f>
        <v>490500.00000000006</v>
      </c>
      <c r="M108" s="42"/>
      <c r="N108" s="42" t="s">
        <v>62</v>
      </c>
      <c r="O108" s="101" t="s">
        <v>446</v>
      </c>
      <c r="P108" s="45">
        <v>2</v>
      </c>
      <c r="Q108" s="100">
        <v>52</v>
      </c>
      <c r="R108" s="100"/>
      <c r="S108" s="42">
        <v>6750</v>
      </c>
      <c r="T108" s="12">
        <f t="shared" si="40"/>
        <v>351000</v>
      </c>
      <c r="U108" s="102" t="s">
        <v>82</v>
      </c>
      <c r="V108" s="12">
        <f>+T108*0.16</f>
        <v>56160</v>
      </c>
      <c r="W108" s="12">
        <f t="shared" si="41"/>
        <v>294840</v>
      </c>
      <c r="X108" s="116"/>
      <c r="Y108" s="117">
        <f t="shared" si="38"/>
        <v>785340</v>
      </c>
      <c r="Z108" s="12"/>
      <c r="AA108" s="12">
        <f>+Y108-Z108</f>
        <v>785340</v>
      </c>
      <c r="AB108" s="12">
        <v>0.02</v>
      </c>
      <c r="AC108" s="12">
        <f>+AA108*AB108/100</f>
        <v>157.068</v>
      </c>
      <c r="AD108" s="42"/>
      <c r="AE108" s="12"/>
    </row>
    <row r="109" spans="1:31" s="46" customFormat="1" ht="21">
      <c r="A109" s="42" t="s">
        <v>0</v>
      </c>
      <c r="B109" s="42" t="s">
        <v>1</v>
      </c>
      <c r="C109" s="45" t="s">
        <v>991</v>
      </c>
      <c r="D109" s="51" t="s">
        <v>611</v>
      </c>
      <c r="E109" s="10" t="s">
        <v>909</v>
      </c>
      <c r="F109" s="47" t="s">
        <v>137</v>
      </c>
      <c r="G109" s="42"/>
      <c r="H109" s="42"/>
      <c r="I109" s="44">
        <v>15.7</v>
      </c>
      <c r="J109" s="44">
        <f t="shared" si="39"/>
        <v>15.7</v>
      </c>
      <c r="K109" s="105">
        <v>21000</v>
      </c>
      <c r="L109" s="42">
        <f>+K109*J109</f>
        <v>329700</v>
      </c>
      <c r="M109" s="42"/>
      <c r="N109" s="42" t="s">
        <v>64</v>
      </c>
      <c r="O109" s="101" t="s">
        <v>446</v>
      </c>
      <c r="P109" s="45">
        <v>2</v>
      </c>
      <c r="Q109" s="100">
        <v>96</v>
      </c>
      <c r="R109" s="100"/>
      <c r="S109" s="42">
        <v>6550</v>
      </c>
      <c r="T109" s="12">
        <f t="shared" si="40"/>
        <v>628800</v>
      </c>
      <c r="U109" s="102" t="s">
        <v>84</v>
      </c>
      <c r="V109" s="12">
        <f>+T109*0.2</f>
        <v>125760</v>
      </c>
      <c r="W109" s="12">
        <f t="shared" si="41"/>
        <v>503040</v>
      </c>
      <c r="X109" s="116"/>
      <c r="Y109" s="117">
        <f t="shared" si="38"/>
        <v>832740</v>
      </c>
      <c r="Z109" s="12"/>
      <c r="AA109" s="12">
        <f>+Y109-Z109</f>
        <v>832740</v>
      </c>
      <c r="AB109" s="12">
        <v>0.02</v>
      </c>
      <c r="AC109" s="12">
        <f>+AA109*AB109/100</f>
        <v>166.548</v>
      </c>
      <c r="AD109" s="42"/>
      <c r="AE109" s="12"/>
    </row>
    <row r="110" spans="1:31" s="46" customFormat="1" ht="21">
      <c r="A110" s="42" t="s">
        <v>0</v>
      </c>
      <c r="B110" s="42" t="s">
        <v>1</v>
      </c>
      <c r="C110" s="45" t="s">
        <v>992</v>
      </c>
      <c r="D110" s="45" t="s">
        <v>612</v>
      </c>
      <c r="E110" s="10" t="s">
        <v>909</v>
      </c>
      <c r="F110" s="47" t="s">
        <v>137</v>
      </c>
      <c r="G110" s="42"/>
      <c r="H110" s="42">
        <v>1</v>
      </c>
      <c r="I110" s="44">
        <v>1</v>
      </c>
      <c r="J110" s="44">
        <f t="shared" si="39"/>
        <v>101</v>
      </c>
      <c r="K110" s="42">
        <v>8000</v>
      </c>
      <c r="L110" s="42">
        <f t="shared" si="29"/>
        <v>808000</v>
      </c>
      <c r="M110" s="42"/>
      <c r="N110" s="42" t="s">
        <v>64</v>
      </c>
      <c r="O110" s="101" t="s">
        <v>446</v>
      </c>
      <c r="P110" s="45">
        <v>2</v>
      </c>
      <c r="Q110" s="100">
        <v>320</v>
      </c>
      <c r="R110" s="100"/>
      <c r="S110" s="42">
        <v>6550</v>
      </c>
      <c r="T110" s="12">
        <f t="shared" si="40"/>
        <v>2096000</v>
      </c>
      <c r="U110" s="45" t="s">
        <v>193</v>
      </c>
      <c r="V110" s="12">
        <f>+T110*0.01</f>
        <v>20960</v>
      </c>
      <c r="W110" s="12">
        <f t="shared" si="41"/>
        <v>2075040</v>
      </c>
      <c r="X110" s="116"/>
      <c r="Y110" s="117">
        <f t="shared" si="38"/>
        <v>2883040</v>
      </c>
      <c r="Z110" s="12"/>
      <c r="AA110" s="12">
        <f t="shared" si="30"/>
        <v>2883040</v>
      </c>
      <c r="AB110" s="12">
        <v>0.02</v>
      </c>
      <c r="AC110" s="12">
        <f t="shared" si="31"/>
        <v>576.6080000000001</v>
      </c>
      <c r="AD110" s="42"/>
      <c r="AE110" s="12"/>
    </row>
    <row r="111" spans="1:31" s="46" customFormat="1" ht="21">
      <c r="A111" s="42" t="s">
        <v>0</v>
      </c>
      <c r="B111" s="42" t="s">
        <v>1</v>
      </c>
      <c r="C111" s="45" t="s">
        <v>993</v>
      </c>
      <c r="D111" s="45" t="s">
        <v>613</v>
      </c>
      <c r="E111" s="10" t="s">
        <v>909</v>
      </c>
      <c r="F111" s="47" t="s">
        <v>137</v>
      </c>
      <c r="G111" s="42"/>
      <c r="H111" s="42">
        <v>1</v>
      </c>
      <c r="I111" s="44"/>
      <c r="J111" s="44">
        <f t="shared" si="39"/>
        <v>100</v>
      </c>
      <c r="K111" s="42">
        <v>8000</v>
      </c>
      <c r="L111" s="42">
        <f t="shared" si="29"/>
        <v>800000</v>
      </c>
      <c r="M111" s="42"/>
      <c r="N111" s="42"/>
      <c r="O111" s="42"/>
      <c r="P111" s="45"/>
      <c r="Q111" s="42"/>
      <c r="R111" s="100"/>
      <c r="S111" s="42"/>
      <c r="T111" s="12">
        <f t="shared" si="40"/>
        <v>0</v>
      </c>
      <c r="U111" s="45"/>
      <c r="V111" s="12">
        <f>+T111*0</f>
        <v>0</v>
      </c>
      <c r="W111" s="12">
        <f t="shared" si="41"/>
        <v>0</v>
      </c>
      <c r="X111" s="116"/>
      <c r="Y111" s="117">
        <f t="shared" si="38"/>
        <v>800000</v>
      </c>
      <c r="Z111" s="12"/>
      <c r="AA111" s="12">
        <f t="shared" si="30"/>
        <v>800000</v>
      </c>
      <c r="AB111" s="12">
        <v>0.02</v>
      </c>
      <c r="AC111" s="12">
        <f t="shared" si="31"/>
        <v>160</v>
      </c>
      <c r="AD111" s="42"/>
      <c r="AE111" s="12"/>
    </row>
    <row r="112" spans="1:31" s="46" customFormat="1" ht="21">
      <c r="A112" s="42" t="s">
        <v>0</v>
      </c>
      <c r="B112" s="42" t="s">
        <v>1</v>
      </c>
      <c r="C112" s="45" t="s">
        <v>994</v>
      </c>
      <c r="D112" s="45" t="s">
        <v>614</v>
      </c>
      <c r="E112" s="10" t="s">
        <v>909</v>
      </c>
      <c r="F112" s="47" t="s">
        <v>137</v>
      </c>
      <c r="G112" s="42"/>
      <c r="H112" s="42"/>
      <c r="I112" s="44">
        <v>36.5</v>
      </c>
      <c r="J112" s="44">
        <f t="shared" si="39"/>
        <v>36.5</v>
      </c>
      <c r="K112" s="42">
        <v>17000</v>
      </c>
      <c r="L112" s="42">
        <f t="shared" si="29"/>
        <v>620500</v>
      </c>
      <c r="M112" s="42"/>
      <c r="N112" s="42" t="s">
        <v>64</v>
      </c>
      <c r="O112" s="101" t="s">
        <v>446</v>
      </c>
      <c r="P112" s="45">
        <v>2</v>
      </c>
      <c r="Q112" s="100">
        <v>108</v>
      </c>
      <c r="R112" s="100"/>
      <c r="S112" s="42">
        <v>6550</v>
      </c>
      <c r="T112" s="12">
        <f t="shared" si="40"/>
        <v>707400</v>
      </c>
      <c r="U112" s="102" t="s">
        <v>84</v>
      </c>
      <c r="V112" s="12">
        <f>+T112*0.2</f>
        <v>141480</v>
      </c>
      <c r="W112" s="12">
        <f t="shared" si="41"/>
        <v>565920</v>
      </c>
      <c r="X112" s="116"/>
      <c r="Y112" s="117">
        <f t="shared" si="38"/>
        <v>1186420</v>
      </c>
      <c r="Z112" s="12"/>
      <c r="AA112" s="12">
        <f t="shared" si="30"/>
        <v>1186420</v>
      </c>
      <c r="AB112" s="12">
        <v>0.02</v>
      </c>
      <c r="AC112" s="12">
        <f t="shared" si="31"/>
        <v>237.28400000000002</v>
      </c>
      <c r="AD112" s="42"/>
      <c r="AE112" s="12"/>
    </row>
    <row r="113" spans="1:31" s="46" customFormat="1" ht="21">
      <c r="A113" s="42"/>
      <c r="B113" s="42"/>
      <c r="C113" s="45"/>
      <c r="D113" s="45"/>
      <c r="E113" s="45"/>
      <c r="F113" s="47"/>
      <c r="G113" s="42"/>
      <c r="H113" s="42"/>
      <c r="I113" s="44"/>
      <c r="J113" s="44">
        <f t="shared" si="39"/>
        <v>0</v>
      </c>
      <c r="K113" s="42"/>
      <c r="L113" s="42">
        <f t="shared" si="29"/>
        <v>0</v>
      </c>
      <c r="M113" s="42"/>
      <c r="N113" s="42"/>
      <c r="O113" s="42"/>
      <c r="P113" s="31"/>
      <c r="Q113" s="42"/>
      <c r="R113" s="42"/>
      <c r="S113" s="42"/>
      <c r="T113" s="12">
        <f t="shared" si="40"/>
        <v>0</v>
      </c>
      <c r="U113" s="45"/>
      <c r="V113" s="12">
        <f>+T113*0</f>
        <v>0</v>
      </c>
      <c r="W113" s="12">
        <f t="shared" si="41"/>
        <v>0</v>
      </c>
      <c r="X113" s="116"/>
      <c r="Y113" s="117">
        <f t="shared" si="38"/>
        <v>0</v>
      </c>
      <c r="Z113" s="12"/>
      <c r="AA113" s="12">
        <f t="shared" si="30"/>
        <v>0</v>
      </c>
      <c r="AB113" s="12"/>
      <c r="AC113" s="12">
        <f t="shared" si="31"/>
        <v>0</v>
      </c>
      <c r="AD113" s="42"/>
      <c r="AE113" s="12"/>
    </row>
    <row r="114" spans="1:31" s="46" customFormat="1" ht="21">
      <c r="A114" s="42" t="s">
        <v>0</v>
      </c>
      <c r="B114" s="42" t="s">
        <v>1</v>
      </c>
      <c r="C114" s="45" t="s">
        <v>995</v>
      </c>
      <c r="D114" s="45" t="s">
        <v>615</v>
      </c>
      <c r="E114" s="30" t="s">
        <v>908</v>
      </c>
      <c r="F114" s="47" t="s">
        <v>143</v>
      </c>
      <c r="G114" s="42"/>
      <c r="H114" s="42"/>
      <c r="I114" s="44">
        <v>13.4</v>
      </c>
      <c r="J114" s="44">
        <f>+I114+(H114*100)+(G114*400)</f>
        <v>13.4</v>
      </c>
      <c r="K114" s="42">
        <v>60000</v>
      </c>
      <c r="L114" s="42">
        <f t="shared" si="29"/>
        <v>804000</v>
      </c>
      <c r="M114" s="42"/>
      <c r="N114" s="42" t="s">
        <v>60</v>
      </c>
      <c r="O114" s="101" t="s">
        <v>446</v>
      </c>
      <c r="P114" s="45">
        <v>3</v>
      </c>
      <c r="Q114" s="100">
        <v>192</v>
      </c>
      <c r="R114" s="100"/>
      <c r="S114" s="42">
        <v>7550</v>
      </c>
      <c r="T114" s="12">
        <f>+Q114*S114</f>
        <v>1449600</v>
      </c>
      <c r="U114" s="102" t="s">
        <v>84</v>
      </c>
      <c r="V114" s="12">
        <f>+T114*0.2</f>
        <v>289920</v>
      </c>
      <c r="W114" s="12">
        <f>+T114-V114</f>
        <v>1159680</v>
      </c>
      <c r="X114" s="116"/>
      <c r="Y114" s="117">
        <f t="shared" si="38"/>
        <v>1963680</v>
      </c>
      <c r="Z114" s="12"/>
      <c r="AA114" s="12">
        <f t="shared" si="30"/>
        <v>1963680</v>
      </c>
      <c r="AB114" s="12">
        <v>0.3</v>
      </c>
      <c r="AC114" s="12">
        <f t="shared" si="31"/>
        <v>5891.04</v>
      </c>
      <c r="AD114" s="42"/>
      <c r="AE114" s="12"/>
    </row>
    <row r="115" spans="1:31" s="46" customFormat="1" ht="21">
      <c r="A115" s="42" t="s">
        <v>0</v>
      </c>
      <c r="B115" s="42" t="s">
        <v>1</v>
      </c>
      <c r="C115" s="45" t="s">
        <v>996</v>
      </c>
      <c r="D115" s="45" t="s">
        <v>616</v>
      </c>
      <c r="E115" s="30" t="s">
        <v>908</v>
      </c>
      <c r="F115" s="47" t="s">
        <v>143</v>
      </c>
      <c r="G115" s="42"/>
      <c r="H115" s="42"/>
      <c r="I115" s="44">
        <v>4.4</v>
      </c>
      <c r="J115" s="44">
        <f>+I115+(H115*100)+(G115*400)</f>
        <v>4.4</v>
      </c>
      <c r="K115" s="42">
        <v>8000</v>
      </c>
      <c r="L115" s="42">
        <f t="shared" si="29"/>
        <v>35200</v>
      </c>
      <c r="M115" s="42"/>
      <c r="N115" s="42"/>
      <c r="O115" s="100"/>
      <c r="P115" s="45"/>
      <c r="Q115" s="100"/>
      <c r="R115" s="100"/>
      <c r="S115" s="42"/>
      <c r="T115" s="12">
        <f>+Q115*S115</f>
        <v>0</v>
      </c>
      <c r="U115" s="45"/>
      <c r="V115" s="12">
        <f>+T115*0</f>
        <v>0</v>
      </c>
      <c r="W115" s="12">
        <f>+T115-V115</f>
        <v>0</v>
      </c>
      <c r="X115" s="116"/>
      <c r="Y115" s="117">
        <f t="shared" si="38"/>
        <v>35200</v>
      </c>
      <c r="Z115" s="12"/>
      <c r="AA115" s="12">
        <f t="shared" si="30"/>
        <v>35200</v>
      </c>
      <c r="AB115" s="12">
        <v>0.3</v>
      </c>
      <c r="AC115" s="12">
        <f t="shared" si="31"/>
        <v>105.6</v>
      </c>
      <c r="AD115" s="42"/>
      <c r="AE115" s="12"/>
    </row>
    <row r="116" spans="1:31" s="46" customFormat="1" ht="21">
      <c r="A116" s="42"/>
      <c r="B116" s="42"/>
      <c r="C116" s="45"/>
      <c r="D116" s="45"/>
      <c r="E116" s="45"/>
      <c r="F116" s="47"/>
      <c r="G116" s="42"/>
      <c r="H116" s="42"/>
      <c r="I116" s="44"/>
      <c r="J116" s="44">
        <f>+I116+(H116*100)+(G116*400)</f>
        <v>0</v>
      </c>
      <c r="K116" s="42"/>
      <c r="L116" s="42">
        <f t="shared" si="29"/>
        <v>0</v>
      </c>
      <c r="M116" s="42"/>
      <c r="N116" s="42"/>
      <c r="O116" s="100"/>
      <c r="P116" s="31"/>
      <c r="Q116" s="100"/>
      <c r="R116" s="100"/>
      <c r="S116" s="42"/>
      <c r="T116" s="12">
        <f>+Q116*S116</f>
        <v>0</v>
      </c>
      <c r="U116" s="45"/>
      <c r="V116" s="12">
        <f>+T116*0</f>
        <v>0</v>
      </c>
      <c r="W116" s="12">
        <f>+T116-V116</f>
        <v>0</v>
      </c>
      <c r="X116" s="116"/>
      <c r="Y116" s="117">
        <f t="shared" si="38"/>
        <v>0</v>
      </c>
      <c r="Z116" s="12"/>
      <c r="AA116" s="12">
        <f t="shared" si="30"/>
        <v>0</v>
      </c>
      <c r="AB116" s="12"/>
      <c r="AC116" s="12">
        <f t="shared" si="31"/>
        <v>0</v>
      </c>
      <c r="AD116" s="42"/>
      <c r="AE116" s="12"/>
    </row>
    <row r="117" spans="1:31" s="46" customFormat="1" ht="21">
      <c r="A117" s="42"/>
      <c r="B117" s="42"/>
      <c r="C117" s="45"/>
      <c r="D117" s="45"/>
      <c r="E117" s="45"/>
      <c r="F117" s="47"/>
      <c r="G117" s="42"/>
      <c r="H117" s="42"/>
      <c r="I117" s="44"/>
      <c r="J117" s="44">
        <f>+I117+(H117*100)+(G117*400)</f>
        <v>0</v>
      </c>
      <c r="K117" s="42"/>
      <c r="L117" s="42">
        <f t="shared" si="29"/>
        <v>0</v>
      </c>
      <c r="M117" s="42"/>
      <c r="N117" s="42"/>
      <c r="O117" s="42"/>
      <c r="P117" s="31"/>
      <c r="Q117" s="42"/>
      <c r="R117" s="42"/>
      <c r="S117" s="42"/>
      <c r="T117" s="12">
        <f>+Q117*S117</f>
        <v>0</v>
      </c>
      <c r="U117" s="45"/>
      <c r="V117" s="12">
        <f>+T117*0</f>
        <v>0</v>
      </c>
      <c r="W117" s="12">
        <f>+T117-V117</f>
        <v>0</v>
      </c>
      <c r="X117" s="116"/>
      <c r="Y117" s="117">
        <f t="shared" si="38"/>
        <v>0</v>
      </c>
      <c r="Z117" s="12"/>
      <c r="AA117" s="12">
        <f t="shared" si="30"/>
        <v>0</v>
      </c>
      <c r="AB117" s="12"/>
      <c r="AC117" s="12">
        <f t="shared" si="31"/>
        <v>0</v>
      </c>
      <c r="AD117" s="42"/>
      <c r="AE117" s="12"/>
    </row>
    <row r="118" spans="1:31" s="46" customFormat="1" ht="21">
      <c r="A118" s="42" t="s">
        <v>0</v>
      </c>
      <c r="B118" s="42" t="s">
        <v>1</v>
      </c>
      <c r="C118" s="45" t="s">
        <v>997</v>
      </c>
      <c r="D118" s="45" t="s">
        <v>617</v>
      </c>
      <c r="E118" s="30" t="s">
        <v>908</v>
      </c>
      <c r="F118" s="47" t="s">
        <v>137</v>
      </c>
      <c r="G118" s="42"/>
      <c r="H118" s="42"/>
      <c r="I118" s="44">
        <v>12.7</v>
      </c>
      <c r="J118" s="44">
        <f aca="true" t="shared" si="42" ref="J118:J126">+I118+(H118*100)+(G118*400)</f>
        <v>12.7</v>
      </c>
      <c r="K118" s="42">
        <v>20000</v>
      </c>
      <c r="L118" s="42">
        <f t="shared" si="29"/>
        <v>254000</v>
      </c>
      <c r="M118" s="42"/>
      <c r="N118" s="42" t="s">
        <v>60</v>
      </c>
      <c r="O118" s="101" t="s">
        <v>446</v>
      </c>
      <c r="P118" s="45">
        <v>2</v>
      </c>
      <c r="Q118" s="100">
        <v>204.8</v>
      </c>
      <c r="R118" s="100"/>
      <c r="S118" s="42">
        <v>7550</v>
      </c>
      <c r="T118" s="12">
        <f aca="true" t="shared" si="43" ref="T118:T126">+Q118*S118</f>
        <v>1546240</v>
      </c>
      <c r="U118" s="102" t="s">
        <v>84</v>
      </c>
      <c r="V118" s="12">
        <f aca="true" t="shared" si="44" ref="V118:V124">+T118*0.2</f>
        <v>309248</v>
      </c>
      <c r="W118" s="12">
        <f aca="true" t="shared" si="45" ref="W118:W126">+T118-V118</f>
        <v>1236992</v>
      </c>
      <c r="X118" s="116"/>
      <c r="Y118" s="117">
        <f t="shared" si="38"/>
        <v>1490992</v>
      </c>
      <c r="Z118" s="12">
        <f>+Y118</f>
        <v>1490992</v>
      </c>
      <c r="AA118" s="12">
        <f t="shared" si="30"/>
        <v>0</v>
      </c>
      <c r="AB118" s="12"/>
      <c r="AC118" s="12">
        <f>+AA118*AB118/100</f>
        <v>0</v>
      </c>
      <c r="AD118" s="42" t="s">
        <v>906</v>
      </c>
      <c r="AE118" s="12" t="e">
        <f>+AC118*#REF!/#REF!</f>
        <v>#REF!</v>
      </c>
    </row>
    <row r="119" spans="1:31" s="46" customFormat="1" ht="21">
      <c r="A119" s="42" t="s">
        <v>0</v>
      </c>
      <c r="B119" s="42" t="s">
        <v>1</v>
      </c>
      <c r="C119" s="45" t="s">
        <v>998</v>
      </c>
      <c r="D119" s="45" t="s">
        <v>618</v>
      </c>
      <c r="E119" s="30" t="s">
        <v>908</v>
      </c>
      <c r="F119" s="47" t="s">
        <v>143</v>
      </c>
      <c r="G119" s="42"/>
      <c r="H119" s="42"/>
      <c r="I119" s="44">
        <v>15.6</v>
      </c>
      <c r="J119" s="44">
        <f t="shared" si="42"/>
        <v>15.6</v>
      </c>
      <c r="K119" s="42">
        <v>100000</v>
      </c>
      <c r="L119" s="42">
        <f>+K119*J119</f>
        <v>1560000</v>
      </c>
      <c r="M119" s="42"/>
      <c r="N119" s="42" t="s">
        <v>60</v>
      </c>
      <c r="O119" s="101" t="s">
        <v>446</v>
      </c>
      <c r="P119" s="45">
        <v>3</v>
      </c>
      <c r="Q119" s="100">
        <v>196</v>
      </c>
      <c r="R119" s="100"/>
      <c r="S119" s="42">
        <v>7550</v>
      </c>
      <c r="T119" s="12">
        <f t="shared" si="43"/>
        <v>1479800</v>
      </c>
      <c r="U119" s="102" t="s">
        <v>84</v>
      </c>
      <c r="V119" s="12">
        <f t="shared" si="44"/>
        <v>295960</v>
      </c>
      <c r="W119" s="12">
        <f t="shared" si="45"/>
        <v>1183840</v>
      </c>
      <c r="X119" s="116"/>
      <c r="Y119" s="117">
        <f t="shared" si="38"/>
        <v>2743840</v>
      </c>
      <c r="Z119" s="12"/>
      <c r="AA119" s="12">
        <f>+Y119-Z119</f>
        <v>2743840</v>
      </c>
      <c r="AB119" s="12">
        <v>0.3</v>
      </c>
      <c r="AC119" s="12">
        <f>+AA119*AB119/100</f>
        <v>8231.52</v>
      </c>
      <c r="AD119" s="42"/>
      <c r="AE119" s="12" t="e">
        <f>+AC119*#REF!/#REF!</f>
        <v>#REF!</v>
      </c>
    </row>
    <row r="120" spans="1:31" s="46" customFormat="1" ht="21">
      <c r="A120" s="42" t="s">
        <v>0</v>
      </c>
      <c r="B120" s="42" t="s">
        <v>1</v>
      </c>
      <c r="C120" s="45" t="s">
        <v>999</v>
      </c>
      <c r="D120" s="45" t="s">
        <v>619</v>
      </c>
      <c r="E120" s="30" t="s">
        <v>908</v>
      </c>
      <c r="F120" s="47" t="s">
        <v>143</v>
      </c>
      <c r="G120" s="42"/>
      <c r="H120" s="42"/>
      <c r="I120" s="44">
        <v>14.6</v>
      </c>
      <c r="J120" s="44">
        <f t="shared" si="42"/>
        <v>14.6</v>
      </c>
      <c r="K120" s="42">
        <v>100000</v>
      </c>
      <c r="L120" s="42">
        <f>+K120*J120</f>
        <v>1460000</v>
      </c>
      <c r="M120" s="42"/>
      <c r="N120" s="42" t="s">
        <v>60</v>
      </c>
      <c r="O120" s="101" t="s">
        <v>446</v>
      </c>
      <c r="P120" s="45">
        <v>3</v>
      </c>
      <c r="Q120" s="100">
        <v>196</v>
      </c>
      <c r="R120" s="100"/>
      <c r="S120" s="42">
        <v>7550</v>
      </c>
      <c r="T120" s="12">
        <f t="shared" si="43"/>
        <v>1479800</v>
      </c>
      <c r="U120" s="102" t="s">
        <v>84</v>
      </c>
      <c r="V120" s="12">
        <f t="shared" si="44"/>
        <v>295960</v>
      </c>
      <c r="W120" s="12">
        <f t="shared" si="45"/>
        <v>1183840</v>
      </c>
      <c r="X120" s="116"/>
      <c r="Y120" s="117">
        <f t="shared" si="38"/>
        <v>2643840</v>
      </c>
      <c r="Z120" s="12"/>
      <c r="AA120" s="12">
        <f>+Y120-Z120</f>
        <v>2643840</v>
      </c>
      <c r="AB120" s="12">
        <v>0.3</v>
      </c>
      <c r="AC120" s="12">
        <f>+AA120*AB120/100</f>
        <v>7931.52</v>
      </c>
      <c r="AD120" s="46" t="s">
        <v>623</v>
      </c>
      <c r="AE120" s="12" t="e">
        <f>+AC120*#REF!/#REF!</f>
        <v>#REF!</v>
      </c>
    </row>
    <row r="121" spans="1:31" s="46" customFormat="1" ht="21">
      <c r="A121" s="42" t="s">
        <v>0</v>
      </c>
      <c r="B121" s="42" t="s">
        <v>1</v>
      </c>
      <c r="C121" s="45" t="s">
        <v>1000</v>
      </c>
      <c r="D121" s="45" t="s">
        <v>620</v>
      </c>
      <c r="E121" s="30" t="s">
        <v>908</v>
      </c>
      <c r="F121" s="47" t="s">
        <v>143</v>
      </c>
      <c r="G121" s="42"/>
      <c r="H121" s="42"/>
      <c r="I121" s="44">
        <v>14.8</v>
      </c>
      <c r="J121" s="44">
        <f t="shared" si="42"/>
        <v>14.8</v>
      </c>
      <c r="K121" s="42">
        <v>100000</v>
      </c>
      <c r="L121" s="42">
        <f>+K121*J121</f>
        <v>1480000</v>
      </c>
      <c r="M121" s="42"/>
      <c r="N121" s="42" t="s">
        <v>60</v>
      </c>
      <c r="O121" s="101" t="s">
        <v>446</v>
      </c>
      <c r="P121" s="45">
        <v>3</v>
      </c>
      <c r="Q121" s="100">
        <v>196</v>
      </c>
      <c r="R121" s="100"/>
      <c r="S121" s="42">
        <v>7550</v>
      </c>
      <c r="T121" s="12">
        <f t="shared" si="43"/>
        <v>1479800</v>
      </c>
      <c r="U121" s="102" t="s">
        <v>84</v>
      </c>
      <c r="V121" s="12">
        <f t="shared" si="44"/>
        <v>295960</v>
      </c>
      <c r="W121" s="12">
        <f t="shared" si="45"/>
        <v>1183840</v>
      </c>
      <c r="X121" s="116"/>
      <c r="Y121" s="117">
        <f t="shared" si="38"/>
        <v>2663840</v>
      </c>
      <c r="Z121" s="12"/>
      <c r="AA121" s="12">
        <f>+Y121-Z121</f>
        <v>2663840</v>
      </c>
      <c r="AB121" s="12">
        <v>0.3</v>
      </c>
      <c r="AC121" s="12">
        <f>+AA121*AB121/100</f>
        <v>7991.52</v>
      </c>
      <c r="AD121" s="42"/>
      <c r="AE121" s="12" t="e">
        <f>+AC121*#REF!/#REF!</f>
        <v>#REF!</v>
      </c>
    </row>
    <row r="122" spans="1:31" s="46" customFormat="1" ht="21">
      <c r="A122" s="42" t="s">
        <v>0</v>
      </c>
      <c r="B122" s="42" t="s">
        <v>1</v>
      </c>
      <c r="C122" s="45" t="s">
        <v>1001</v>
      </c>
      <c r="D122" s="45" t="s">
        <v>621</v>
      </c>
      <c r="E122" s="30" t="s">
        <v>908</v>
      </c>
      <c r="F122" s="47" t="s">
        <v>137</v>
      </c>
      <c r="G122" s="42"/>
      <c r="H122" s="42"/>
      <c r="I122" s="44">
        <v>12.4</v>
      </c>
      <c r="J122" s="44">
        <f t="shared" si="42"/>
        <v>12.4</v>
      </c>
      <c r="K122" s="42">
        <v>20000</v>
      </c>
      <c r="L122" s="42">
        <f t="shared" si="29"/>
        <v>248000</v>
      </c>
      <c r="M122" s="42">
        <v>1</v>
      </c>
      <c r="N122" s="42" t="s">
        <v>60</v>
      </c>
      <c r="O122" s="101" t="s">
        <v>446</v>
      </c>
      <c r="P122" s="45">
        <v>2</v>
      </c>
      <c r="Q122" s="100">
        <v>148</v>
      </c>
      <c r="R122" s="100">
        <f>+Q122*100/(Q122+Q123)</f>
        <v>75.51020408163265</v>
      </c>
      <c r="S122" s="42">
        <v>7550</v>
      </c>
      <c r="T122" s="12">
        <f t="shared" si="43"/>
        <v>1117400</v>
      </c>
      <c r="U122" s="102" t="s">
        <v>84</v>
      </c>
      <c r="V122" s="12">
        <f t="shared" si="44"/>
        <v>223480</v>
      </c>
      <c r="W122" s="12">
        <f t="shared" si="45"/>
        <v>893920</v>
      </c>
      <c r="X122" s="116"/>
      <c r="Y122" s="117">
        <f>+L122*(R122/100)+W122</f>
        <v>1081185.306122449</v>
      </c>
      <c r="Z122" s="12"/>
      <c r="AA122" s="12">
        <f t="shared" si="30"/>
        <v>1081185.306122449</v>
      </c>
      <c r="AB122" s="12">
        <v>0.02</v>
      </c>
      <c r="AC122" s="12">
        <f t="shared" si="31"/>
        <v>216.23706122448982</v>
      </c>
      <c r="AD122" s="42"/>
      <c r="AE122" s="12" t="e">
        <f>+AC122*#REF!/#REF!</f>
        <v>#REF!</v>
      </c>
    </row>
    <row r="123" spans="1:31" s="46" customFormat="1" ht="21">
      <c r="A123" s="42" t="s">
        <v>0</v>
      </c>
      <c r="B123" s="42"/>
      <c r="C123" s="45"/>
      <c r="D123" s="45"/>
      <c r="E123" s="45"/>
      <c r="F123" s="47"/>
      <c r="G123" s="42"/>
      <c r="H123" s="42"/>
      <c r="I123" s="44"/>
      <c r="J123" s="44">
        <f>+I123+(H123*100)+(G123*400)</f>
        <v>0</v>
      </c>
      <c r="K123" s="42"/>
      <c r="L123" s="42">
        <f>+K123*J123</f>
        <v>0</v>
      </c>
      <c r="M123" s="42">
        <v>2</v>
      </c>
      <c r="N123" s="42" t="s">
        <v>60</v>
      </c>
      <c r="O123" s="101" t="s">
        <v>446</v>
      </c>
      <c r="P123" s="45">
        <v>3</v>
      </c>
      <c r="Q123" s="100">
        <v>48</v>
      </c>
      <c r="R123" s="100">
        <f>+Q123*100/(Q122+Q123)</f>
        <v>24.489795918367346</v>
      </c>
      <c r="S123" s="42">
        <v>7550</v>
      </c>
      <c r="T123" s="12">
        <f>+Q123*S123</f>
        <v>362400</v>
      </c>
      <c r="U123" s="102" t="s">
        <v>84</v>
      </c>
      <c r="V123" s="12">
        <f>+T123*0.2</f>
        <v>72480</v>
      </c>
      <c r="W123" s="12">
        <f>+T123-V123</f>
        <v>289920</v>
      </c>
      <c r="X123" s="116"/>
      <c r="Y123" s="117">
        <f>+L122*(R123/100)+W123</f>
        <v>350654.693877551</v>
      </c>
      <c r="Z123" s="12"/>
      <c r="AA123" s="12">
        <f>+Y123-Z123</f>
        <v>350654.693877551</v>
      </c>
      <c r="AB123" s="12">
        <v>0.3</v>
      </c>
      <c r="AC123" s="12">
        <f>+AA123*AB123/100</f>
        <v>1051.964081632653</v>
      </c>
      <c r="AD123" s="42"/>
      <c r="AE123" s="12" t="e">
        <f>+AC123*#REF!/#REF!</f>
        <v>#REF!</v>
      </c>
    </row>
    <row r="124" spans="1:31" s="46" customFormat="1" ht="21">
      <c r="A124" s="42" t="s">
        <v>0</v>
      </c>
      <c r="B124" s="42" t="s">
        <v>1</v>
      </c>
      <c r="C124" s="45" t="s">
        <v>1002</v>
      </c>
      <c r="D124" s="45" t="s">
        <v>622</v>
      </c>
      <c r="E124" s="30" t="s">
        <v>908</v>
      </c>
      <c r="F124" s="47" t="s">
        <v>137</v>
      </c>
      <c r="G124" s="42"/>
      <c r="H124" s="42"/>
      <c r="I124" s="44">
        <v>12.5</v>
      </c>
      <c r="J124" s="44">
        <f t="shared" si="42"/>
        <v>12.5</v>
      </c>
      <c r="K124" s="42">
        <v>20000</v>
      </c>
      <c r="L124" s="42">
        <f t="shared" si="29"/>
        <v>250000</v>
      </c>
      <c r="M124" s="42"/>
      <c r="N124" s="42" t="s">
        <v>60</v>
      </c>
      <c r="O124" s="101" t="s">
        <v>446</v>
      </c>
      <c r="P124" s="45">
        <v>2</v>
      </c>
      <c r="Q124" s="100">
        <v>210</v>
      </c>
      <c r="R124" s="100"/>
      <c r="S124" s="42">
        <v>7550</v>
      </c>
      <c r="T124" s="12">
        <f t="shared" si="43"/>
        <v>1585500</v>
      </c>
      <c r="U124" s="102" t="s">
        <v>84</v>
      </c>
      <c r="V124" s="12">
        <f t="shared" si="44"/>
        <v>317100</v>
      </c>
      <c r="W124" s="12">
        <f t="shared" si="45"/>
        <v>1268400</v>
      </c>
      <c r="X124" s="116"/>
      <c r="Y124" s="117">
        <f aca="true" t="shared" si="46" ref="Y124:Y144">+L124+W124</f>
        <v>1518400</v>
      </c>
      <c r="Z124" s="12"/>
      <c r="AA124" s="12">
        <f t="shared" si="30"/>
        <v>1518400</v>
      </c>
      <c r="AB124" s="12">
        <v>0.02</v>
      </c>
      <c r="AC124" s="12">
        <f t="shared" si="31"/>
        <v>303.68</v>
      </c>
      <c r="AD124" s="42"/>
      <c r="AE124" s="12" t="e">
        <f>+AC124*#REF!/#REF!</f>
        <v>#REF!</v>
      </c>
    </row>
    <row r="125" spans="1:31" s="46" customFormat="1" ht="21">
      <c r="A125" s="42"/>
      <c r="B125" s="42"/>
      <c r="C125" s="45"/>
      <c r="D125" s="45"/>
      <c r="E125" s="45"/>
      <c r="F125" s="47"/>
      <c r="G125" s="42"/>
      <c r="H125" s="42"/>
      <c r="I125" s="44"/>
      <c r="J125" s="44">
        <f t="shared" si="42"/>
        <v>0</v>
      </c>
      <c r="K125" s="42"/>
      <c r="L125" s="42">
        <f t="shared" si="29"/>
        <v>0</v>
      </c>
      <c r="M125" s="42"/>
      <c r="N125" s="42"/>
      <c r="O125" s="42"/>
      <c r="P125" s="31"/>
      <c r="Q125" s="42"/>
      <c r="R125" s="42"/>
      <c r="S125" s="42"/>
      <c r="T125" s="12">
        <f t="shared" si="43"/>
        <v>0</v>
      </c>
      <c r="U125" s="45"/>
      <c r="V125" s="12">
        <f>+T125*0</f>
        <v>0</v>
      </c>
      <c r="W125" s="12">
        <f t="shared" si="45"/>
        <v>0</v>
      </c>
      <c r="X125" s="116"/>
      <c r="Y125" s="117">
        <f t="shared" si="46"/>
        <v>0</v>
      </c>
      <c r="Z125" s="12"/>
      <c r="AA125" s="12">
        <f t="shared" si="30"/>
        <v>0</v>
      </c>
      <c r="AB125" s="12"/>
      <c r="AC125" s="12">
        <f t="shared" si="31"/>
        <v>0</v>
      </c>
      <c r="AD125" s="42"/>
      <c r="AE125" s="12"/>
    </row>
    <row r="126" spans="1:31" s="46" customFormat="1" ht="21">
      <c r="A126" s="42"/>
      <c r="B126" s="42"/>
      <c r="C126" s="45"/>
      <c r="D126" s="45"/>
      <c r="E126" s="45"/>
      <c r="F126" s="47"/>
      <c r="G126" s="42"/>
      <c r="H126" s="42"/>
      <c r="I126" s="44"/>
      <c r="J126" s="44">
        <f t="shared" si="42"/>
        <v>0</v>
      </c>
      <c r="K126" s="42"/>
      <c r="L126" s="42">
        <f t="shared" si="29"/>
        <v>0</v>
      </c>
      <c r="M126" s="42"/>
      <c r="N126" s="42"/>
      <c r="O126" s="42"/>
      <c r="P126" s="31"/>
      <c r="Q126" s="42"/>
      <c r="R126" s="42"/>
      <c r="S126" s="42"/>
      <c r="T126" s="12">
        <f t="shared" si="43"/>
        <v>0</v>
      </c>
      <c r="U126" s="45"/>
      <c r="V126" s="12">
        <f>+T126*0</f>
        <v>0</v>
      </c>
      <c r="W126" s="12">
        <f t="shared" si="45"/>
        <v>0</v>
      </c>
      <c r="X126" s="116"/>
      <c r="Y126" s="117">
        <f t="shared" si="46"/>
        <v>0</v>
      </c>
      <c r="Z126" s="12"/>
      <c r="AA126" s="12">
        <f t="shared" si="30"/>
        <v>0</v>
      </c>
      <c r="AB126" s="12"/>
      <c r="AC126" s="12">
        <f t="shared" si="31"/>
        <v>0</v>
      </c>
      <c r="AD126" s="42"/>
      <c r="AE126" s="12"/>
    </row>
    <row r="127" spans="1:31" s="46" customFormat="1" ht="21">
      <c r="A127" s="42" t="s">
        <v>0</v>
      </c>
      <c r="B127" s="42" t="s">
        <v>1</v>
      </c>
      <c r="C127" s="45" t="s">
        <v>1003</v>
      </c>
      <c r="D127" s="51" t="s">
        <v>624</v>
      </c>
      <c r="E127" s="29" t="s">
        <v>907</v>
      </c>
      <c r="F127" s="47" t="s">
        <v>137</v>
      </c>
      <c r="G127" s="42"/>
      <c r="H127" s="42"/>
      <c r="I127" s="44">
        <v>14.4</v>
      </c>
      <c r="J127" s="44">
        <f aca="true" t="shared" si="47" ref="J127:J165">+I127+(H127*100)+(G127*400)</f>
        <v>14.4</v>
      </c>
      <c r="K127" s="42">
        <v>15000</v>
      </c>
      <c r="L127" s="42">
        <f t="shared" si="29"/>
        <v>216000</v>
      </c>
      <c r="M127" s="42"/>
      <c r="N127" s="42" t="s">
        <v>60</v>
      </c>
      <c r="O127" s="101" t="s">
        <v>446</v>
      </c>
      <c r="P127" s="45">
        <v>2</v>
      </c>
      <c r="Q127" s="100">
        <v>120</v>
      </c>
      <c r="R127" s="100"/>
      <c r="S127" s="42">
        <v>7550</v>
      </c>
      <c r="T127" s="12">
        <f aca="true" t="shared" si="48" ref="T127:T165">+Q127*S127</f>
        <v>906000</v>
      </c>
      <c r="U127" s="102" t="s">
        <v>84</v>
      </c>
      <c r="V127" s="12">
        <f>+T127*0.2</f>
        <v>181200</v>
      </c>
      <c r="W127" s="12">
        <f aca="true" t="shared" si="49" ref="W127:W165">+T127-V127</f>
        <v>724800</v>
      </c>
      <c r="X127" s="116"/>
      <c r="Y127" s="117">
        <f t="shared" si="46"/>
        <v>940800</v>
      </c>
      <c r="Z127" s="12"/>
      <c r="AA127" s="12">
        <f t="shared" si="30"/>
        <v>940800</v>
      </c>
      <c r="AB127" s="12">
        <v>0.02</v>
      </c>
      <c r="AC127" s="12">
        <f t="shared" si="31"/>
        <v>188.16</v>
      </c>
      <c r="AD127" s="42"/>
      <c r="AE127" s="12"/>
    </row>
    <row r="128" spans="1:31" s="46" customFormat="1" ht="21">
      <c r="A128" s="42" t="s">
        <v>0</v>
      </c>
      <c r="B128" s="42" t="s">
        <v>1</v>
      </c>
      <c r="C128" s="45" t="s">
        <v>1004</v>
      </c>
      <c r="D128" s="51" t="s">
        <v>625</v>
      </c>
      <c r="E128" s="29" t="s">
        <v>907</v>
      </c>
      <c r="F128" s="47" t="s">
        <v>143</v>
      </c>
      <c r="G128" s="42"/>
      <c r="H128" s="42"/>
      <c r="I128" s="44">
        <v>99.6</v>
      </c>
      <c r="J128" s="44">
        <f t="shared" si="47"/>
        <v>99.6</v>
      </c>
      <c r="K128" s="42">
        <v>30000</v>
      </c>
      <c r="L128" s="42">
        <f t="shared" si="29"/>
        <v>2988000</v>
      </c>
      <c r="M128" s="42"/>
      <c r="N128" s="42" t="s">
        <v>1006</v>
      </c>
      <c r="O128" s="100"/>
      <c r="P128" s="45"/>
      <c r="Q128" s="100"/>
      <c r="R128" s="100"/>
      <c r="S128" s="42"/>
      <c r="T128" s="12">
        <f t="shared" si="48"/>
        <v>0</v>
      </c>
      <c r="U128" s="102"/>
      <c r="V128" s="12">
        <f>+T128*0.2</f>
        <v>0</v>
      </c>
      <c r="W128" s="12">
        <f t="shared" si="49"/>
        <v>0</v>
      </c>
      <c r="X128" s="116"/>
      <c r="Y128" s="117">
        <f t="shared" si="46"/>
        <v>2988000</v>
      </c>
      <c r="Z128" s="12"/>
      <c r="AA128" s="12">
        <f t="shared" si="30"/>
        <v>2988000</v>
      </c>
      <c r="AB128" s="12">
        <v>0.3</v>
      </c>
      <c r="AC128" s="12">
        <f t="shared" si="31"/>
        <v>8964</v>
      </c>
      <c r="AD128" s="42"/>
      <c r="AE128" s="12"/>
    </row>
    <row r="129" spans="1:31" s="46" customFormat="1" ht="21">
      <c r="A129" s="42" t="s">
        <v>0</v>
      </c>
      <c r="B129" s="42" t="s">
        <v>1</v>
      </c>
      <c r="C129" s="45" t="s">
        <v>1005</v>
      </c>
      <c r="D129" s="45" t="s">
        <v>626</v>
      </c>
      <c r="E129" s="29" t="s">
        <v>907</v>
      </c>
      <c r="F129" s="47" t="s">
        <v>137</v>
      </c>
      <c r="G129" s="42"/>
      <c r="H129" s="42">
        <v>3</v>
      </c>
      <c r="I129" s="44">
        <v>53.7</v>
      </c>
      <c r="J129" s="44">
        <f t="shared" si="47"/>
        <v>353.7</v>
      </c>
      <c r="K129" s="42">
        <v>10000</v>
      </c>
      <c r="L129" s="42">
        <f t="shared" si="29"/>
        <v>3537000</v>
      </c>
      <c r="M129" s="42"/>
      <c r="N129" s="42" t="s">
        <v>64</v>
      </c>
      <c r="O129" s="101" t="s">
        <v>446</v>
      </c>
      <c r="P129" s="45">
        <v>2</v>
      </c>
      <c r="Q129" s="100">
        <v>48</v>
      </c>
      <c r="R129" s="100"/>
      <c r="S129" s="42">
        <v>6550</v>
      </c>
      <c r="T129" s="12">
        <f t="shared" si="48"/>
        <v>314400</v>
      </c>
      <c r="U129" s="102" t="s">
        <v>84</v>
      </c>
      <c r="V129" s="12">
        <f>+T129*0.2</f>
        <v>62880</v>
      </c>
      <c r="W129" s="12">
        <f t="shared" si="49"/>
        <v>251520</v>
      </c>
      <c r="X129" s="116"/>
      <c r="Y129" s="117">
        <f t="shared" si="46"/>
        <v>3788520</v>
      </c>
      <c r="Z129" s="12"/>
      <c r="AA129" s="12">
        <f t="shared" si="30"/>
        <v>3788520</v>
      </c>
      <c r="AB129" s="12">
        <v>0.02</v>
      </c>
      <c r="AC129" s="12">
        <f t="shared" si="31"/>
        <v>757.7040000000001</v>
      </c>
      <c r="AD129" s="42"/>
      <c r="AE129" s="12"/>
    </row>
    <row r="130" spans="1:31" s="46" customFormat="1" ht="21">
      <c r="A130" s="42"/>
      <c r="B130" s="42"/>
      <c r="C130" s="45"/>
      <c r="D130" s="45"/>
      <c r="E130" s="45"/>
      <c r="F130" s="47"/>
      <c r="G130" s="42"/>
      <c r="H130" s="42"/>
      <c r="I130" s="44"/>
      <c r="J130" s="44">
        <f t="shared" si="47"/>
        <v>0</v>
      </c>
      <c r="K130" s="42"/>
      <c r="L130" s="42">
        <f t="shared" si="29"/>
        <v>0</v>
      </c>
      <c r="M130" s="42"/>
      <c r="N130" s="42"/>
      <c r="O130" s="42"/>
      <c r="P130" s="31"/>
      <c r="Q130" s="42"/>
      <c r="R130" s="42"/>
      <c r="S130" s="42"/>
      <c r="T130" s="12">
        <f t="shared" si="48"/>
        <v>0</v>
      </c>
      <c r="U130" s="45"/>
      <c r="V130" s="12">
        <f>+T130*0</f>
        <v>0</v>
      </c>
      <c r="W130" s="12">
        <f t="shared" si="49"/>
        <v>0</v>
      </c>
      <c r="X130" s="116"/>
      <c r="Y130" s="117">
        <f t="shared" si="46"/>
        <v>0</v>
      </c>
      <c r="Z130" s="12"/>
      <c r="AA130" s="12">
        <f t="shared" si="30"/>
        <v>0</v>
      </c>
      <c r="AB130" s="12"/>
      <c r="AC130" s="12">
        <f t="shared" si="31"/>
        <v>0</v>
      </c>
      <c r="AD130" s="42"/>
      <c r="AE130" s="12"/>
    </row>
    <row r="131" spans="1:31" s="46" customFormat="1" ht="21">
      <c r="A131" s="42" t="s">
        <v>0</v>
      </c>
      <c r="B131" s="42" t="s">
        <v>1</v>
      </c>
      <c r="C131" s="45" t="s">
        <v>1007</v>
      </c>
      <c r="D131" s="45" t="s">
        <v>627</v>
      </c>
      <c r="E131" s="30" t="s">
        <v>908</v>
      </c>
      <c r="F131" s="47" t="s">
        <v>177</v>
      </c>
      <c r="G131" s="42"/>
      <c r="H131" s="42"/>
      <c r="I131" s="44">
        <v>58.9</v>
      </c>
      <c r="J131" s="44">
        <f t="shared" si="47"/>
        <v>58.9</v>
      </c>
      <c r="K131" s="42">
        <v>18000</v>
      </c>
      <c r="L131" s="42">
        <f t="shared" si="29"/>
        <v>1060200</v>
      </c>
      <c r="M131" s="42"/>
      <c r="N131" s="42"/>
      <c r="O131" s="100"/>
      <c r="P131" s="31"/>
      <c r="Q131" s="100"/>
      <c r="R131" s="100"/>
      <c r="S131" s="42"/>
      <c r="T131" s="12">
        <f t="shared" si="48"/>
        <v>0</v>
      </c>
      <c r="U131" s="45"/>
      <c r="V131" s="12">
        <f>+T131*0</f>
        <v>0</v>
      </c>
      <c r="W131" s="12">
        <f t="shared" si="49"/>
        <v>0</v>
      </c>
      <c r="X131" s="116"/>
      <c r="Y131" s="117">
        <f t="shared" si="46"/>
        <v>1060200</v>
      </c>
      <c r="Z131" s="12">
        <f>+Y131</f>
        <v>1060200</v>
      </c>
      <c r="AA131" s="12">
        <f t="shared" si="30"/>
        <v>0</v>
      </c>
      <c r="AB131" s="12"/>
      <c r="AC131" s="12">
        <f t="shared" si="31"/>
        <v>0</v>
      </c>
      <c r="AD131" s="42"/>
      <c r="AE131" s="12"/>
    </row>
    <row r="132" spans="1:31" s="46" customFormat="1" ht="21">
      <c r="A132" s="42" t="s">
        <v>0</v>
      </c>
      <c r="B132" s="42" t="s">
        <v>1</v>
      </c>
      <c r="C132" s="45" t="s">
        <v>1008</v>
      </c>
      <c r="D132" s="45" t="s">
        <v>628</v>
      </c>
      <c r="E132" s="30" t="s">
        <v>908</v>
      </c>
      <c r="F132" s="47" t="s">
        <v>137</v>
      </c>
      <c r="G132" s="42"/>
      <c r="H132" s="42"/>
      <c r="I132" s="44">
        <v>61.7</v>
      </c>
      <c r="J132" s="44">
        <f t="shared" si="47"/>
        <v>61.7</v>
      </c>
      <c r="K132" s="42">
        <v>18000</v>
      </c>
      <c r="L132" s="42">
        <f t="shared" si="29"/>
        <v>1110600</v>
      </c>
      <c r="M132" s="42"/>
      <c r="N132" s="42" t="s">
        <v>64</v>
      </c>
      <c r="O132" s="101" t="s">
        <v>447</v>
      </c>
      <c r="P132" s="45">
        <v>2</v>
      </c>
      <c r="Q132" s="100">
        <v>196</v>
      </c>
      <c r="R132" s="100"/>
      <c r="S132" s="42">
        <v>6550</v>
      </c>
      <c r="T132" s="12">
        <f t="shared" si="48"/>
        <v>1283800</v>
      </c>
      <c r="U132" s="102" t="s">
        <v>629</v>
      </c>
      <c r="V132" s="12">
        <f>+T132*0.85</f>
        <v>1091230</v>
      </c>
      <c r="W132" s="12">
        <f t="shared" si="49"/>
        <v>192570</v>
      </c>
      <c r="X132" s="116"/>
      <c r="Y132" s="117">
        <f t="shared" si="46"/>
        <v>1303170</v>
      </c>
      <c r="Z132" s="12">
        <f>+Y132</f>
        <v>1303170</v>
      </c>
      <c r="AA132" s="12">
        <f aca="true" t="shared" si="50" ref="AA132:AA184">+Y132-Z132</f>
        <v>0</v>
      </c>
      <c r="AB132" s="12"/>
      <c r="AC132" s="12">
        <f aca="true" t="shared" si="51" ref="AC132:AC184">+AA132*AB132/100</f>
        <v>0</v>
      </c>
      <c r="AD132" s="42" t="s">
        <v>906</v>
      </c>
      <c r="AE132" s="12"/>
    </row>
    <row r="133" spans="1:31" s="46" customFormat="1" ht="21">
      <c r="A133" s="42"/>
      <c r="B133" s="42"/>
      <c r="C133" s="45"/>
      <c r="D133" s="45"/>
      <c r="E133" s="45"/>
      <c r="F133" s="47"/>
      <c r="G133" s="42"/>
      <c r="H133" s="42"/>
      <c r="I133" s="44"/>
      <c r="J133" s="44">
        <f t="shared" si="47"/>
        <v>0</v>
      </c>
      <c r="K133" s="42"/>
      <c r="L133" s="42">
        <f t="shared" si="29"/>
        <v>0</v>
      </c>
      <c r="M133" s="42"/>
      <c r="N133" s="42"/>
      <c r="O133" s="42"/>
      <c r="P133" s="31"/>
      <c r="Q133" s="42"/>
      <c r="R133" s="42"/>
      <c r="S133" s="42"/>
      <c r="T133" s="12">
        <f t="shared" si="48"/>
        <v>0</v>
      </c>
      <c r="U133" s="45"/>
      <c r="V133" s="12">
        <f>+T133*0</f>
        <v>0</v>
      </c>
      <c r="W133" s="12">
        <f t="shared" si="49"/>
        <v>0</v>
      </c>
      <c r="X133" s="116"/>
      <c r="Y133" s="117">
        <f t="shared" si="46"/>
        <v>0</v>
      </c>
      <c r="Z133" s="12"/>
      <c r="AA133" s="12">
        <f t="shared" si="50"/>
        <v>0</v>
      </c>
      <c r="AB133" s="12"/>
      <c r="AC133" s="12">
        <f t="shared" si="51"/>
        <v>0</v>
      </c>
      <c r="AD133" s="42"/>
      <c r="AE133" s="12"/>
    </row>
    <row r="134" spans="1:31" s="46" customFormat="1" ht="21">
      <c r="A134" s="42"/>
      <c r="B134" s="42"/>
      <c r="C134" s="45"/>
      <c r="D134" s="45"/>
      <c r="E134" s="45"/>
      <c r="F134" s="47"/>
      <c r="G134" s="42"/>
      <c r="H134" s="42"/>
      <c r="I134" s="44"/>
      <c r="J134" s="44">
        <f t="shared" si="47"/>
        <v>0</v>
      </c>
      <c r="K134" s="42"/>
      <c r="L134" s="42">
        <f t="shared" si="29"/>
        <v>0</v>
      </c>
      <c r="M134" s="42"/>
      <c r="N134" s="42"/>
      <c r="O134" s="100"/>
      <c r="P134" s="31"/>
      <c r="Q134" s="100"/>
      <c r="R134" s="100"/>
      <c r="S134" s="42"/>
      <c r="T134" s="12">
        <f t="shared" si="48"/>
        <v>0</v>
      </c>
      <c r="U134" s="45"/>
      <c r="V134" s="12">
        <f>+T134*0</f>
        <v>0</v>
      </c>
      <c r="W134" s="12">
        <f t="shared" si="49"/>
        <v>0</v>
      </c>
      <c r="X134" s="116"/>
      <c r="Y134" s="117">
        <f t="shared" si="46"/>
        <v>0</v>
      </c>
      <c r="Z134" s="12"/>
      <c r="AA134" s="12">
        <f t="shared" si="50"/>
        <v>0</v>
      </c>
      <c r="AB134" s="12"/>
      <c r="AC134" s="12">
        <f t="shared" si="51"/>
        <v>0</v>
      </c>
      <c r="AD134" s="42"/>
      <c r="AE134" s="12"/>
    </row>
    <row r="135" spans="1:31" s="46" customFormat="1" ht="21">
      <c r="A135" s="42"/>
      <c r="B135" s="42"/>
      <c r="C135" s="45"/>
      <c r="D135" s="45"/>
      <c r="E135" s="45"/>
      <c r="F135" s="47"/>
      <c r="G135" s="42"/>
      <c r="H135" s="42"/>
      <c r="I135" s="44"/>
      <c r="J135" s="44">
        <f t="shared" si="47"/>
        <v>0</v>
      </c>
      <c r="K135" s="42"/>
      <c r="L135" s="42">
        <f t="shared" si="29"/>
        <v>0</v>
      </c>
      <c r="M135" s="42"/>
      <c r="N135" s="42"/>
      <c r="O135" s="42"/>
      <c r="P135" s="31"/>
      <c r="Q135" s="42"/>
      <c r="R135" s="42"/>
      <c r="S135" s="42"/>
      <c r="T135" s="12">
        <f t="shared" si="48"/>
        <v>0</v>
      </c>
      <c r="U135" s="45"/>
      <c r="V135" s="12">
        <f>+T135*0</f>
        <v>0</v>
      </c>
      <c r="W135" s="12">
        <f t="shared" si="49"/>
        <v>0</v>
      </c>
      <c r="X135" s="116"/>
      <c r="Y135" s="117">
        <f t="shared" si="46"/>
        <v>0</v>
      </c>
      <c r="Z135" s="12"/>
      <c r="AA135" s="12">
        <f t="shared" si="50"/>
        <v>0</v>
      </c>
      <c r="AB135" s="12"/>
      <c r="AC135" s="12">
        <f t="shared" si="51"/>
        <v>0</v>
      </c>
      <c r="AD135" s="42"/>
      <c r="AE135" s="12"/>
    </row>
    <row r="136" spans="1:31" s="46" customFormat="1" ht="21">
      <c r="A136" s="42" t="s">
        <v>0</v>
      </c>
      <c r="B136" s="42" t="s">
        <v>1</v>
      </c>
      <c r="C136" s="45" t="s">
        <v>1009</v>
      </c>
      <c r="D136" s="45" t="s">
        <v>630</v>
      </c>
      <c r="E136" s="29" t="s">
        <v>907</v>
      </c>
      <c r="F136" s="47" t="s">
        <v>137</v>
      </c>
      <c r="G136" s="42"/>
      <c r="H136" s="42"/>
      <c r="I136" s="44">
        <v>39.7</v>
      </c>
      <c r="J136" s="44">
        <f t="shared" si="47"/>
        <v>39.7</v>
      </c>
      <c r="K136" s="42">
        <v>15000</v>
      </c>
      <c r="L136" s="42">
        <f t="shared" si="29"/>
        <v>595500</v>
      </c>
      <c r="M136" s="42"/>
      <c r="N136" s="42" t="s">
        <v>60</v>
      </c>
      <c r="O136" s="101" t="s">
        <v>446</v>
      </c>
      <c r="P136" s="45">
        <v>2</v>
      </c>
      <c r="Q136" s="100">
        <f>112*2</f>
        <v>224</v>
      </c>
      <c r="R136" s="100"/>
      <c r="S136" s="42">
        <v>7550</v>
      </c>
      <c r="T136" s="12">
        <f t="shared" si="48"/>
        <v>1691200</v>
      </c>
      <c r="U136" s="102" t="s">
        <v>84</v>
      </c>
      <c r="V136" s="12">
        <f>+T136*0.2</f>
        <v>338240</v>
      </c>
      <c r="W136" s="12">
        <f t="shared" si="49"/>
        <v>1352960</v>
      </c>
      <c r="X136" s="116"/>
      <c r="Y136" s="117">
        <f t="shared" si="46"/>
        <v>1948460</v>
      </c>
      <c r="Z136" s="12"/>
      <c r="AA136" s="12">
        <f t="shared" si="50"/>
        <v>1948460</v>
      </c>
      <c r="AB136" s="12">
        <v>0.02</v>
      </c>
      <c r="AC136" s="12">
        <f t="shared" si="51"/>
        <v>389.69200000000006</v>
      </c>
      <c r="AD136" s="42"/>
      <c r="AE136" s="12"/>
    </row>
    <row r="137" spans="1:31" s="46" customFormat="1" ht="21">
      <c r="A137" s="42" t="s">
        <v>0</v>
      </c>
      <c r="B137" s="42" t="s">
        <v>1</v>
      </c>
      <c r="C137" s="45" t="s">
        <v>1010</v>
      </c>
      <c r="D137" s="45" t="s">
        <v>631</v>
      </c>
      <c r="E137" s="29" t="s">
        <v>907</v>
      </c>
      <c r="F137" s="47" t="s">
        <v>137</v>
      </c>
      <c r="G137" s="42"/>
      <c r="H137" s="42"/>
      <c r="I137" s="44">
        <v>19.8</v>
      </c>
      <c r="J137" s="44">
        <f t="shared" si="47"/>
        <v>19.8</v>
      </c>
      <c r="K137" s="42">
        <v>15000</v>
      </c>
      <c r="L137" s="42">
        <f t="shared" si="29"/>
        <v>297000</v>
      </c>
      <c r="M137" s="42"/>
      <c r="N137" s="42" t="s">
        <v>62</v>
      </c>
      <c r="O137" s="101" t="s">
        <v>446</v>
      </c>
      <c r="P137" s="45">
        <v>2</v>
      </c>
      <c r="Q137" s="100">
        <v>80</v>
      </c>
      <c r="R137" s="100"/>
      <c r="S137" s="42">
        <v>6750</v>
      </c>
      <c r="T137" s="12">
        <f t="shared" si="48"/>
        <v>540000</v>
      </c>
      <c r="U137" s="102" t="s">
        <v>84</v>
      </c>
      <c r="V137" s="12">
        <f>+T137*0.2</f>
        <v>108000</v>
      </c>
      <c r="W137" s="12">
        <f t="shared" si="49"/>
        <v>432000</v>
      </c>
      <c r="X137" s="116"/>
      <c r="Y137" s="117">
        <f t="shared" si="46"/>
        <v>729000</v>
      </c>
      <c r="Z137" s="12"/>
      <c r="AA137" s="12">
        <f t="shared" si="50"/>
        <v>729000</v>
      </c>
      <c r="AB137" s="12">
        <v>0.02</v>
      </c>
      <c r="AC137" s="12">
        <f t="shared" si="51"/>
        <v>145.8</v>
      </c>
      <c r="AD137" s="42"/>
      <c r="AE137" s="12"/>
    </row>
    <row r="138" spans="1:31" s="46" customFormat="1" ht="21">
      <c r="A138" s="42" t="s">
        <v>0</v>
      </c>
      <c r="B138" s="42" t="s">
        <v>1</v>
      </c>
      <c r="C138" s="45" t="s">
        <v>1011</v>
      </c>
      <c r="D138" s="45" t="s">
        <v>632</v>
      </c>
      <c r="E138" s="29" t="s">
        <v>907</v>
      </c>
      <c r="F138" s="47" t="s">
        <v>137</v>
      </c>
      <c r="G138" s="42"/>
      <c r="H138" s="42"/>
      <c r="I138" s="44">
        <v>19.5</v>
      </c>
      <c r="J138" s="44">
        <f t="shared" si="47"/>
        <v>19.5</v>
      </c>
      <c r="K138" s="42">
        <v>15000</v>
      </c>
      <c r="L138" s="42">
        <f t="shared" si="29"/>
        <v>292500</v>
      </c>
      <c r="M138" s="42"/>
      <c r="N138" s="42" t="s">
        <v>60</v>
      </c>
      <c r="O138" s="101" t="s">
        <v>446</v>
      </c>
      <c r="P138" s="45">
        <v>2</v>
      </c>
      <c r="Q138" s="100">
        <v>56</v>
      </c>
      <c r="R138" s="100"/>
      <c r="S138" s="42">
        <v>7550</v>
      </c>
      <c r="T138" s="12">
        <f t="shared" si="48"/>
        <v>422800</v>
      </c>
      <c r="U138" s="102" t="s">
        <v>84</v>
      </c>
      <c r="V138" s="12">
        <f>+T138*0.2</f>
        <v>84560</v>
      </c>
      <c r="W138" s="12">
        <f t="shared" si="49"/>
        <v>338240</v>
      </c>
      <c r="X138" s="116"/>
      <c r="Y138" s="117">
        <f t="shared" si="46"/>
        <v>630740</v>
      </c>
      <c r="Z138" s="12"/>
      <c r="AA138" s="12">
        <f t="shared" si="50"/>
        <v>630740</v>
      </c>
      <c r="AB138" s="12">
        <v>0.02</v>
      </c>
      <c r="AC138" s="12">
        <f t="shared" si="51"/>
        <v>126.14800000000001</v>
      </c>
      <c r="AD138" s="42"/>
      <c r="AE138" s="12"/>
    </row>
    <row r="139" spans="1:31" s="46" customFormat="1" ht="21">
      <c r="A139" s="42" t="s">
        <v>0</v>
      </c>
      <c r="B139" s="42" t="s">
        <v>1</v>
      </c>
      <c r="C139" s="45" t="s">
        <v>1012</v>
      </c>
      <c r="D139" s="45" t="s">
        <v>633</v>
      </c>
      <c r="E139" s="29" t="s">
        <v>907</v>
      </c>
      <c r="F139" s="47" t="s">
        <v>140</v>
      </c>
      <c r="G139" s="42"/>
      <c r="H139" s="42">
        <v>1</v>
      </c>
      <c r="I139" s="44">
        <v>29.5</v>
      </c>
      <c r="J139" s="44">
        <f t="shared" si="47"/>
        <v>129.5</v>
      </c>
      <c r="K139" s="42">
        <v>15000</v>
      </c>
      <c r="L139" s="42">
        <f t="shared" si="29"/>
        <v>1942500</v>
      </c>
      <c r="M139" s="42"/>
      <c r="N139" s="42"/>
      <c r="O139" s="101"/>
      <c r="P139" s="45"/>
      <c r="Q139" s="100"/>
      <c r="R139" s="100"/>
      <c r="S139" s="42"/>
      <c r="T139" s="12">
        <f t="shared" si="48"/>
        <v>0</v>
      </c>
      <c r="U139" s="45"/>
      <c r="V139" s="12">
        <f aca="true" t="shared" si="52" ref="V139:V146">+T139*0</f>
        <v>0</v>
      </c>
      <c r="W139" s="12">
        <f t="shared" si="49"/>
        <v>0</v>
      </c>
      <c r="X139" s="116"/>
      <c r="Y139" s="117">
        <f t="shared" si="46"/>
        <v>1942500</v>
      </c>
      <c r="Z139" s="12"/>
      <c r="AA139" s="12">
        <f t="shared" si="50"/>
        <v>1942500</v>
      </c>
      <c r="AB139" s="12">
        <v>0.3</v>
      </c>
      <c r="AC139" s="12">
        <f t="shared" si="51"/>
        <v>5827.5</v>
      </c>
      <c r="AD139" s="42"/>
      <c r="AE139" s="12"/>
    </row>
    <row r="140" spans="1:31" s="46" customFormat="1" ht="21">
      <c r="A140" s="42"/>
      <c r="B140" s="42"/>
      <c r="C140" s="45"/>
      <c r="D140" s="45"/>
      <c r="E140" s="45"/>
      <c r="F140" s="47"/>
      <c r="G140" s="42"/>
      <c r="H140" s="42"/>
      <c r="I140" s="44"/>
      <c r="J140" s="44">
        <f t="shared" si="47"/>
        <v>0</v>
      </c>
      <c r="K140" s="42"/>
      <c r="L140" s="42">
        <f t="shared" si="29"/>
        <v>0</v>
      </c>
      <c r="M140" s="42"/>
      <c r="N140" s="42"/>
      <c r="O140" s="42"/>
      <c r="P140" s="31"/>
      <c r="Q140" s="42"/>
      <c r="R140" s="42"/>
      <c r="S140" s="42"/>
      <c r="T140" s="12">
        <f t="shared" si="48"/>
        <v>0</v>
      </c>
      <c r="U140" s="45"/>
      <c r="V140" s="12">
        <f t="shared" si="52"/>
        <v>0</v>
      </c>
      <c r="W140" s="12">
        <f t="shared" si="49"/>
        <v>0</v>
      </c>
      <c r="X140" s="116"/>
      <c r="Y140" s="117">
        <f t="shared" si="46"/>
        <v>0</v>
      </c>
      <c r="Z140" s="12"/>
      <c r="AA140" s="12">
        <f t="shared" si="50"/>
        <v>0</v>
      </c>
      <c r="AB140" s="12"/>
      <c r="AC140" s="12">
        <f t="shared" si="51"/>
        <v>0</v>
      </c>
      <c r="AD140" s="42"/>
      <c r="AE140" s="12"/>
    </row>
    <row r="141" spans="1:31" s="46" customFormat="1" ht="21">
      <c r="A141" s="42" t="s">
        <v>0</v>
      </c>
      <c r="B141" s="42" t="s">
        <v>1</v>
      </c>
      <c r="C141" s="45" t="s">
        <v>1013</v>
      </c>
      <c r="D141" s="45" t="s">
        <v>634</v>
      </c>
      <c r="E141" s="29" t="s">
        <v>907</v>
      </c>
      <c r="F141" s="47" t="s">
        <v>140</v>
      </c>
      <c r="G141" s="42"/>
      <c r="H141" s="42"/>
      <c r="I141" s="44">
        <v>49.9</v>
      </c>
      <c r="J141" s="44">
        <f t="shared" si="47"/>
        <v>49.9</v>
      </c>
      <c r="K141" s="42">
        <v>12000</v>
      </c>
      <c r="L141" s="42">
        <f t="shared" si="29"/>
        <v>598800</v>
      </c>
      <c r="M141" s="42"/>
      <c r="N141" s="42"/>
      <c r="O141" s="100"/>
      <c r="P141" s="45"/>
      <c r="Q141" s="100"/>
      <c r="R141" s="100"/>
      <c r="S141" s="42"/>
      <c r="T141" s="12">
        <f t="shared" si="48"/>
        <v>0</v>
      </c>
      <c r="U141" s="45"/>
      <c r="V141" s="12">
        <f t="shared" si="52"/>
        <v>0</v>
      </c>
      <c r="W141" s="12">
        <f t="shared" si="49"/>
        <v>0</v>
      </c>
      <c r="X141" s="116"/>
      <c r="Y141" s="117">
        <f t="shared" si="46"/>
        <v>598800</v>
      </c>
      <c r="Z141" s="12"/>
      <c r="AA141" s="12">
        <f t="shared" si="50"/>
        <v>598800</v>
      </c>
      <c r="AB141" s="12">
        <v>0.3</v>
      </c>
      <c r="AC141" s="12">
        <f t="shared" si="51"/>
        <v>1796.4</v>
      </c>
      <c r="AD141" s="42"/>
      <c r="AE141" s="12"/>
    </row>
    <row r="142" spans="1:31" s="46" customFormat="1" ht="21">
      <c r="A142" s="42"/>
      <c r="B142" s="42"/>
      <c r="C142" s="45"/>
      <c r="D142" s="45"/>
      <c r="E142" s="45"/>
      <c r="F142" s="47"/>
      <c r="G142" s="42"/>
      <c r="H142" s="42"/>
      <c r="I142" s="44"/>
      <c r="J142" s="44">
        <f t="shared" si="47"/>
        <v>0</v>
      </c>
      <c r="K142" s="42"/>
      <c r="L142" s="42">
        <f t="shared" si="29"/>
        <v>0</v>
      </c>
      <c r="M142" s="42"/>
      <c r="N142" s="42"/>
      <c r="O142" s="100"/>
      <c r="P142" s="31"/>
      <c r="Q142" s="100"/>
      <c r="R142" s="100"/>
      <c r="S142" s="42"/>
      <c r="T142" s="12">
        <f t="shared" si="48"/>
        <v>0</v>
      </c>
      <c r="U142" s="45"/>
      <c r="V142" s="12">
        <f t="shared" si="52"/>
        <v>0</v>
      </c>
      <c r="W142" s="12">
        <f t="shared" si="49"/>
        <v>0</v>
      </c>
      <c r="X142" s="116"/>
      <c r="Y142" s="117">
        <f t="shared" si="46"/>
        <v>0</v>
      </c>
      <c r="Z142" s="12"/>
      <c r="AA142" s="12">
        <f t="shared" si="50"/>
        <v>0</v>
      </c>
      <c r="AB142" s="12"/>
      <c r="AC142" s="12">
        <f t="shared" si="51"/>
        <v>0</v>
      </c>
      <c r="AD142" s="42"/>
      <c r="AE142" s="12"/>
    </row>
    <row r="143" spans="1:31" s="46" customFormat="1" ht="21">
      <c r="A143" s="42"/>
      <c r="B143" s="42"/>
      <c r="C143" s="45"/>
      <c r="D143" s="45"/>
      <c r="E143" s="45"/>
      <c r="F143" s="47"/>
      <c r="G143" s="42"/>
      <c r="H143" s="42"/>
      <c r="I143" s="44"/>
      <c r="J143" s="44">
        <f t="shared" si="47"/>
        <v>0</v>
      </c>
      <c r="K143" s="42"/>
      <c r="L143" s="42">
        <f t="shared" si="29"/>
        <v>0</v>
      </c>
      <c r="M143" s="42"/>
      <c r="N143" s="42"/>
      <c r="O143" s="42"/>
      <c r="P143" s="31"/>
      <c r="Q143" s="42"/>
      <c r="R143" s="42"/>
      <c r="S143" s="42"/>
      <c r="T143" s="12">
        <f t="shared" si="48"/>
        <v>0</v>
      </c>
      <c r="U143" s="45"/>
      <c r="V143" s="12">
        <f t="shared" si="52"/>
        <v>0</v>
      </c>
      <c r="W143" s="12">
        <f t="shared" si="49"/>
        <v>0</v>
      </c>
      <c r="X143" s="116"/>
      <c r="Y143" s="117">
        <f t="shared" si="46"/>
        <v>0</v>
      </c>
      <c r="Z143" s="12"/>
      <c r="AA143" s="12">
        <f t="shared" si="50"/>
        <v>0</v>
      </c>
      <c r="AB143" s="12"/>
      <c r="AC143" s="12">
        <f t="shared" si="51"/>
        <v>0</v>
      </c>
      <c r="AD143" s="42"/>
      <c r="AE143" s="12"/>
    </row>
    <row r="144" spans="1:31" s="46" customFormat="1" ht="21">
      <c r="A144" s="42" t="s">
        <v>0</v>
      </c>
      <c r="B144" s="42" t="s">
        <v>1</v>
      </c>
      <c r="C144" s="45" t="s">
        <v>1014</v>
      </c>
      <c r="D144" s="45" t="s">
        <v>635</v>
      </c>
      <c r="E144" s="29" t="s">
        <v>907</v>
      </c>
      <c r="F144" s="47" t="s">
        <v>140</v>
      </c>
      <c r="G144" s="42"/>
      <c r="H144" s="42">
        <v>1</v>
      </c>
      <c r="I144" s="44">
        <v>52.7</v>
      </c>
      <c r="J144" s="44">
        <f t="shared" si="47"/>
        <v>152.7</v>
      </c>
      <c r="K144" s="42">
        <v>12000</v>
      </c>
      <c r="L144" s="42">
        <f t="shared" si="29"/>
        <v>1832399.9999999998</v>
      </c>
      <c r="M144" s="42"/>
      <c r="N144" s="42"/>
      <c r="O144" s="100"/>
      <c r="P144" s="45"/>
      <c r="Q144" s="100"/>
      <c r="R144" s="100"/>
      <c r="S144" s="42"/>
      <c r="T144" s="12">
        <f t="shared" si="48"/>
        <v>0</v>
      </c>
      <c r="U144" s="45"/>
      <c r="V144" s="12">
        <f t="shared" si="52"/>
        <v>0</v>
      </c>
      <c r="W144" s="12">
        <f t="shared" si="49"/>
        <v>0</v>
      </c>
      <c r="X144" s="116"/>
      <c r="Y144" s="117">
        <f t="shared" si="46"/>
        <v>1832399.9999999998</v>
      </c>
      <c r="Z144" s="12"/>
      <c r="AA144" s="12">
        <f t="shared" si="50"/>
        <v>1832399.9999999998</v>
      </c>
      <c r="AB144" s="12">
        <v>0.3</v>
      </c>
      <c r="AC144" s="12">
        <f t="shared" si="51"/>
        <v>5497.199999999999</v>
      </c>
      <c r="AD144" s="42"/>
      <c r="AE144" s="12"/>
    </row>
    <row r="145" spans="1:31" s="46" customFormat="1" ht="21">
      <c r="A145" s="42"/>
      <c r="B145" s="42"/>
      <c r="C145" s="45"/>
      <c r="D145" s="45"/>
      <c r="E145" s="45"/>
      <c r="F145" s="47"/>
      <c r="G145" s="42"/>
      <c r="H145" s="42"/>
      <c r="I145" s="44"/>
      <c r="J145" s="44">
        <f t="shared" si="47"/>
        <v>0</v>
      </c>
      <c r="K145" s="42"/>
      <c r="L145" s="42">
        <f t="shared" si="29"/>
        <v>0</v>
      </c>
      <c r="M145" s="42"/>
      <c r="N145" s="42"/>
      <c r="O145" s="100"/>
      <c r="P145" s="31"/>
      <c r="Q145" s="100"/>
      <c r="R145" s="100"/>
      <c r="S145" s="42"/>
      <c r="T145" s="12">
        <f t="shared" si="48"/>
        <v>0</v>
      </c>
      <c r="U145" s="45"/>
      <c r="V145" s="12">
        <f t="shared" si="52"/>
        <v>0</v>
      </c>
      <c r="W145" s="12">
        <f t="shared" si="49"/>
        <v>0</v>
      </c>
      <c r="X145" s="116"/>
      <c r="Y145" s="117">
        <f aca="true" t="shared" si="53" ref="Y145:Y166">+L145+W145</f>
        <v>0</v>
      </c>
      <c r="Z145" s="12"/>
      <c r="AA145" s="12">
        <f t="shared" si="50"/>
        <v>0</v>
      </c>
      <c r="AB145" s="12"/>
      <c r="AC145" s="12">
        <f t="shared" si="51"/>
        <v>0</v>
      </c>
      <c r="AD145" s="42"/>
      <c r="AE145" s="12"/>
    </row>
    <row r="146" spans="1:31" s="46" customFormat="1" ht="21">
      <c r="A146" s="42"/>
      <c r="B146" s="42"/>
      <c r="C146" s="45"/>
      <c r="D146" s="45"/>
      <c r="E146" s="45"/>
      <c r="F146" s="47"/>
      <c r="G146" s="42"/>
      <c r="H146" s="42"/>
      <c r="I146" s="44"/>
      <c r="J146" s="44">
        <f t="shared" si="47"/>
        <v>0</v>
      </c>
      <c r="K146" s="42"/>
      <c r="L146" s="42">
        <f t="shared" si="29"/>
        <v>0</v>
      </c>
      <c r="M146" s="42"/>
      <c r="N146" s="42"/>
      <c r="O146" s="42"/>
      <c r="P146" s="31"/>
      <c r="Q146" s="42"/>
      <c r="R146" s="42"/>
      <c r="S146" s="42"/>
      <c r="T146" s="12">
        <f t="shared" si="48"/>
        <v>0</v>
      </c>
      <c r="U146" s="45"/>
      <c r="V146" s="12">
        <f t="shared" si="52"/>
        <v>0</v>
      </c>
      <c r="W146" s="12">
        <f t="shared" si="49"/>
        <v>0</v>
      </c>
      <c r="X146" s="116"/>
      <c r="Y146" s="117">
        <f t="shared" si="53"/>
        <v>0</v>
      </c>
      <c r="Z146" s="12"/>
      <c r="AA146" s="12">
        <f t="shared" si="50"/>
        <v>0</v>
      </c>
      <c r="AB146" s="12"/>
      <c r="AC146" s="12">
        <f t="shared" si="51"/>
        <v>0</v>
      </c>
      <c r="AD146" s="42"/>
      <c r="AE146" s="12"/>
    </row>
    <row r="147" spans="1:31" s="46" customFormat="1" ht="21">
      <c r="A147" s="42" t="s">
        <v>0</v>
      </c>
      <c r="B147" s="42" t="s">
        <v>1</v>
      </c>
      <c r="C147" s="45" t="s">
        <v>1015</v>
      </c>
      <c r="D147" s="45" t="s">
        <v>636</v>
      </c>
      <c r="E147" s="30" t="s">
        <v>908</v>
      </c>
      <c r="F147" s="47" t="s">
        <v>137</v>
      </c>
      <c r="G147" s="42"/>
      <c r="H147" s="42"/>
      <c r="I147" s="44">
        <v>23</v>
      </c>
      <c r="J147" s="44">
        <f t="shared" si="47"/>
        <v>23</v>
      </c>
      <c r="K147" s="42">
        <v>60000</v>
      </c>
      <c r="L147" s="42">
        <f t="shared" si="29"/>
        <v>1380000</v>
      </c>
      <c r="M147" s="42"/>
      <c r="N147" s="42" t="s">
        <v>60</v>
      </c>
      <c r="O147" s="101" t="s">
        <v>446</v>
      </c>
      <c r="P147" s="45">
        <v>2</v>
      </c>
      <c r="Q147" s="100">
        <v>162</v>
      </c>
      <c r="R147" s="100"/>
      <c r="S147" s="42">
        <v>7550</v>
      </c>
      <c r="T147" s="12">
        <f t="shared" si="48"/>
        <v>1223100</v>
      </c>
      <c r="U147" s="102" t="s">
        <v>108</v>
      </c>
      <c r="V147" s="12">
        <f>+T147*0.76</f>
        <v>929556</v>
      </c>
      <c r="W147" s="12">
        <f t="shared" si="49"/>
        <v>293544</v>
      </c>
      <c r="X147" s="116"/>
      <c r="Y147" s="117">
        <f t="shared" si="53"/>
        <v>1673544</v>
      </c>
      <c r="Z147" s="12">
        <f>+Y147</f>
        <v>1673544</v>
      </c>
      <c r="AA147" s="12">
        <f t="shared" si="50"/>
        <v>0</v>
      </c>
      <c r="AB147" s="12"/>
      <c r="AC147" s="12">
        <f t="shared" si="51"/>
        <v>0</v>
      </c>
      <c r="AD147" s="42" t="s">
        <v>906</v>
      </c>
      <c r="AE147" s="12"/>
    </row>
    <row r="148" spans="1:31" s="46" customFormat="1" ht="21">
      <c r="A148" s="42" t="s">
        <v>0</v>
      </c>
      <c r="B148" s="42" t="s">
        <v>1</v>
      </c>
      <c r="C148" s="45" t="s">
        <v>1016</v>
      </c>
      <c r="D148" s="45" t="s">
        <v>637</v>
      </c>
      <c r="E148" s="29" t="s">
        <v>907</v>
      </c>
      <c r="F148" s="47" t="s">
        <v>140</v>
      </c>
      <c r="G148" s="42"/>
      <c r="H148" s="42"/>
      <c r="I148" s="44">
        <v>50</v>
      </c>
      <c r="J148" s="44">
        <f t="shared" si="47"/>
        <v>50</v>
      </c>
      <c r="K148" s="42">
        <v>8000</v>
      </c>
      <c r="L148" s="42">
        <f t="shared" si="29"/>
        <v>400000</v>
      </c>
      <c r="M148" s="42"/>
      <c r="N148" s="42"/>
      <c r="O148" s="100"/>
      <c r="P148" s="45"/>
      <c r="Q148" s="100"/>
      <c r="R148" s="100"/>
      <c r="S148" s="42"/>
      <c r="T148" s="12">
        <f t="shared" si="48"/>
        <v>0</v>
      </c>
      <c r="U148" s="45"/>
      <c r="V148" s="12">
        <f>+T148*0</f>
        <v>0</v>
      </c>
      <c r="W148" s="12">
        <f t="shared" si="49"/>
        <v>0</v>
      </c>
      <c r="X148" s="116"/>
      <c r="Y148" s="117">
        <f t="shared" si="53"/>
        <v>400000</v>
      </c>
      <c r="Z148" s="12"/>
      <c r="AA148" s="12">
        <f t="shared" si="50"/>
        <v>400000</v>
      </c>
      <c r="AB148" s="12">
        <v>0.3</v>
      </c>
      <c r="AC148" s="12">
        <f t="shared" si="51"/>
        <v>1200</v>
      </c>
      <c r="AD148" s="42"/>
      <c r="AE148" s="12"/>
    </row>
    <row r="149" spans="1:31" s="46" customFormat="1" ht="21">
      <c r="A149" s="42"/>
      <c r="B149" s="42"/>
      <c r="C149" s="45"/>
      <c r="D149" s="45"/>
      <c r="E149" s="45"/>
      <c r="F149" s="47"/>
      <c r="G149" s="42"/>
      <c r="H149" s="42"/>
      <c r="I149" s="44"/>
      <c r="J149" s="44">
        <f t="shared" si="47"/>
        <v>0</v>
      </c>
      <c r="K149" s="42"/>
      <c r="L149" s="42">
        <f t="shared" si="29"/>
        <v>0</v>
      </c>
      <c r="M149" s="42"/>
      <c r="N149" s="42"/>
      <c r="O149" s="100"/>
      <c r="P149" s="31"/>
      <c r="Q149" s="100"/>
      <c r="R149" s="100"/>
      <c r="S149" s="42"/>
      <c r="T149" s="12">
        <f t="shared" si="48"/>
        <v>0</v>
      </c>
      <c r="U149" s="45"/>
      <c r="V149" s="12">
        <f>+T149*0</f>
        <v>0</v>
      </c>
      <c r="W149" s="12">
        <f t="shared" si="49"/>
        <v>0</v>
      </c>
      <c r="X149" s="116"/>
      <c r="Y149" s="117">
        <f t="shared" si="53"/>
        <v>0</v>
      </c>
      <c r="Z149" s="12"/>
      <c r="AA149" s="12">
        <f t="shared" si="50"/>
        <v>0</v>
      </c>
      <c r="AB149" s="12"/>
      <c r="AC149" s="12">
        <f t="shared" si="51"/>
        <v>0</v>
      </c>
      <c r="AD149" s="42"/>
      <c r="AE149" s="12"/>
    </row>
    <row r="150" spans="1:31" s="46" customFormat="1" ht="21">
      <c r="A150" s="42"/>
      <c r="B150" s="42"/>
      <c r="C150" s="45"/>
      <c r="D150" s="45"/>
      <c r="E150" s="45"/>
      <c r="F150" s="47"/>
      <c r="G150" s="42"/>
      <c r="H150" s="42"/>
      <c r="I150" s="44"/>
      <c r="J150" s="44">
        <f t="shared" si="47"/>
        <v>0</v>
      </c>
      <c r="K150" s="42"/>
      <c r="L150" s="42">
        <f t="shared" si="29"/>
        <v>0</v>
      </c>
      <c r="M150" s="42"/>
      <c r="N150" s="42"/>
      <c r="O150" s="42"/>
      <c r="P150" s="31"/>
      <c r="Q150" s="42"/>
      <c r="R150" s="42"/>
      <c r="S150" s="42"/>
      <c r="T150" s="12">
        <f t="shared" si="48"/>
        <v>0</v>
      </c>
      <c r="U150" s="45"/>
      <c r="V150" s="12">
        <f>+T150*0</f>
        <v>0</v>
      </c>
      <c r="W150" s="12">
        <f t="shared" si="49"/>
        <v>0</v>
      </c>
      <c r="X150" s="116"/>
      <c r="Y150" s="117">
        <f t="shared" si="53"/>
        <v>0</v>
      </c>
      <c r="Z150" s="12"/>
      <c r="AA150" s="12">
        <f t="shared" si="50"/>
        <v>0</v>
      </c>
      <c r="AB150" s="12"/>
      <c r="AC150" s="12">
        <f t="shared" si="51"/>
        <v>0</v>
      </c>
      <c r="AD150" s="42"/>
      <c r="AE150" s="12"/>
    </row>
    <row r="151" spans="1:31" s="46" customFormat="1" ht="21">
      <c r="A151" s="42" t="s">
        <v>0</v>
      </c>
      <c r="B151" s="42" t="s">
        <v>1</v>
      </c>
      <c r="C151" s="45" t="s">
        <v>1017</v>
      </c>
      <c r="D151" s="45" t="s">
        <v>638</v>
      </c>
      <c r="E151" s="29" t="s">
        <v>907</v>
      </c>
      <c r="F151" s="47" t="s">
        <v>143</v>
      </c>
      <c r="G151" s="42"/>
      <c r="H151" s="42"/>
      <c r="I151" s="44">
        <v>79.8</v>
      </c>
      <c r="J151" s="44">
        <f t="shared" si="47"/>
        <v>79.8</v>
      </c>
      <c r="K151" s="42">
        <v>15000</v>
      </c>
      <c r="L151" s="42">
        <f t="shared" si="29"/>
        <v>1197000</v>
      </c>
      <c r="M151" s="42"/>
      <c r="N151" s="42" t="s">
        <v>116</v>
      </c>
      <c r="O151" s="104" t="s">
        <v>446</v>
      </c>
      <c r="P151" s="45">
        <v>3</v>
      </c>
      <c r="Q151" s="104">
        <v>91</v>
      </c>
      <c r="R151" s="100"/>
      <c r="S151" s="42">
        <v>5550</v>
      </c>
      <c r="T151" s="12">
        <f t="shared" si="48"/>
        <v>505050</v>
      </c>
      <c r="U151" s="102" t="s">
        <v>82</v>
      </c>
      <c r="V151" s="12">
        <f>+T151*0.16</f>
        <v>80808</v>
      </c>
      <c r="W151" s="12">
        <f t="shared" si="49"/>
        <v>424242</v>
      </c>
      <c r="X151" s="116"/>
      <c r="Y151" s="117">
        <f t="shared" si="53"/>
        <v>1621242</v>
      </c>
      <c r="Z151" s="12"/>
      <c r="AA151" s="12">
        <f t="shared" si="50"/>
        <v>1621242</v>
      </c>
      <c r="AB151" s="12">
        <v>0.3</v>
      </c>
      <c r="AC151" s="12">
        <f t="shared" si="51"/>
        <v>4863.726</v>
      </c>
      <c r="AD151" s="42"/>
      <c r="AE151" s="12"/>
    </row>
    <row r="152" spans="1:31" s="46" customFormat="1" ht="21">
      <c r="A152" s="42" t="s">
        <v>0</v>
      </c>
      <c r="B152" s="42" t="s">
        <v>1</v>
      </c>
      <c r="C152" s="45" t="s">
        <v>1018</v>
      </c>
      <c r="D152" s="45" t="s">
        <v>639</v>
      </c>
      <c r="E152" s="29" t="s">
        <v>907</v>
      </c>
      <c r="F152" s="47" t="s">
        <v>137</v>
      </c>
      <c r="G152" s="42"/>
      <c r="H152" s="42"/>
      <c r="I152" s="44">
        <v>36.5</v>
      </c>
      <c r="J152" s="44">
        <f t="shared" si="47"/>
        <v>36.5</v>
      </c>
      <c r="K152" s="42">
        <v>25000</v>
      </c>
      <c r="L152" s="42">
        <f t="shared" si="29"/>
        <v>912500</v>
      </c>
      <c r="M152" s="42"/>
      <c r="N152" s="42" t="s">
        <v>60</v>
      </c>
      <c r="O152" s="101" t="s">
        <v>446</v>
      </c>
      <c r="P152" s="45">
        <v>2</v>
      </c>
      <c r="Q152" s="100">
        <v>340</v>
      </c>
      <c r="R152" s="100"/>
      <c r="S152" s="42">
        <v>7550</v>
      </c>
      <c r="T152" s="12">
        <f t="shared" si="48"/>
        <v>2567000</v>
      </c>
      <c r="U152" s="102" t="s">
        <v>90</v>
      </c>
      <c r="V152" s="12">
        <f>+T152*0.38</f>
        <v>975460</v>
      </c>
      <c r="W152" s="12">
        <f t="shared" si="49"/>
        <v>1591540</v>
      </c>
      <c r="X152" s="116"/>
      <c r="Y152" s="117">
        <f t="shared" si="53"/>
        <v>2504040</v>
      </c>
      <c r="Z152" s="12">
        <f>+Y152</f>
        <v>2504040</v>
      </c>
      <c r="AA152" s="12">
        <f t="shared" si="50"/>
        <v>0</v>
      </c>
      <c r="AB152" s="12"/>
      <c r="AC152" s="12">
        <f t="shared" si="51"/>
        <v>0</v>
      </c>
      <c r="AD152" s="42" t="s">
        <v>906</v>
      </c>
      <c r="AE152" s="12"/>
    </row>
    <row r="153" spans="1:31" s="46" customFormat="1" ht="21">
      <c r="A153" s="42"/>
      <c r="B153" s="42"/>
      <c r="C153" s="45"/>
      <c r="D153" s="45"/>
      <c r="E153" s="45"/>
      <c r="F153" s="47"/>
      <c r="G153" s="42"/>
      <c r="H153" s="42"/>
      <c r="I153" s="44"/>
      <c r="J153" s="44">
        <f t="shared" si="47"/>
        <v>0</v>
      </c>
      <c r="K153" s="42"/>
      <c r="L153" s="42">
        <f t="shared" si="29"/>
        <v>0</v>
      </c>
      <c r="M153" s="42"/>
      <c r="N153" s="42"/>
      <c r="O153" s="42"/>
      <c r="P153" s="31"/>
      <c r="Q153" s="42"/>
      <c r="R153" s="42"/>
      <c r="S153" s="42"/>
      <c r="T153" s="12">
        <f t="shared" si="48"/>
        <v>0</v>
      </c>
      <c r="U153" s="45"/>
      <c r="V153" s="12">
        <f>+T153*0</f>
        <v>0</v>
      </c>
      <c r="W153" s="12">
        <f t="shared" si="49"/>
        <v>0</v>
      </c>
      <c r="X153" s="116"/>
      <c r="Y153" s="117">
        <f t="shared" si="53"/>
        <v>0</v>
      </c>
      <c r="Z153" s="12"/>
      <c r="AA153" s="12">
        <f t="shared" si="50"/>
        <v>0</v>
      </c>
      <c r="AB153" s="12"/>
      <c r="AC153" s="12">
        <f t="shared" si="51"/>
        <v>0</v>
      </c>
      <c r="AD153" s="42"/>
      <c r="AE153" s="12"/>
    </row>
    <row r="154" spans="1:31" s="46" customFormat="1" ht="21">
      <c r="A154" s="42"/>
      <c r="B154" s="42"/>
      <c r="C154" s="45"/>
      <c r="D154" s="45"/>
      <c r="E154" s="45"/>
      <c r="F154" s="47"/>
      <c r="G154" s="42"/>
      <c r="H154" s="42"/>
      <c r="I154" s="44"/>
      <c r="J154" s="44">
        <f t="shared" si="47"/>
        <v>0</v>
      </c>
      <c r="K154" s="42"/>
      <c r="L154" s="42">
        <f>+K154*J154</f>
        <v>0</v>
      </c>
      <c r="M154" s="42"/>
      <c r="N154" s="42"/>
      <c r="O154" s="42"/>
      <c r="P154" s="31"/>
      <c r="Q154" s="42"/>
      <c r="R154" s="42"/>
      <c r="S154" s="42"/>
      <c r="T154" s="12">
        <f t="shared" si="48"/>
        <v>0</v>
      </c>
      <c r="U154" s="45"/>
      <c r="V154" s="12">
        <f>+T154*0</f>
        <v>0</v>
      </c>
      <c r="W154" s="12">
        <f t="shared" si="49"/>
        <v>0</v>
      </c>
      <c r="X154" s="116"/>
      <c r="Y154" s="117">
        <f t="shared" si="53"/>
        <v>0</v>
      </c>
      <c r="Z154" s="12"/>
      <c r="AA154" s="12">
        <f>+Y154-Z154</f>
        <v>0</v>
      </c>
      <c r="AB154" s="12"/>
      <c r="AC154" s="12">
        <f>+AA154*AB154/100</f>
        <v>0</v>
      </c>
      <c r="AD154" s="42"/>
      <c r="AE154" s="12"/>
    </row>
    <row r="155" spans="1:31" s="46" customFormat="1" ht="21">
      <c r="A155" s="42" t="s">
        <v>0</v>
      </c>
      <c r="B155" s="42" t="s">
        <v>1</v>
      </c>
      <c r="C155" s="45" t="s">
        <v>1019</v>
      </c>
      <c r="D155" s="113" t="s">
        <v>671</v>
      </c>
      <c r="E155" s="10" t="s">
        <v>909</v>
      </c>
      <c r="F155" s="47" t="s">
        <v>137</v>
      </c>
      <c r="G155" s="42"/>
      <c r="H155" s="42"/>
      <c r="I155" s="44">
        <v>25.3</v>
      </c>
      <c r="J155" s="44">
        <f t="shared" si="47"/>
        <v>25.3</v>
      </c>
      <c r="K155" s="42">
        <v>15000</v>
      </c>
      <c r="L155" s="42">
        <f>+K155*J155</f>
        <v>379500</v>
      </c>
      <c r="M155" s="42"/>
      <c r="N155" s="42" t="s">
        <v>62</v>
      </c>
      <c r="O155" s="101" t="s">
        <v>446</v>
      </c>
      <c r="P155" s="45">
        <v>2</v>
      </c>
      <c r="Q155" s="100">
        <v>48</v>
      </c>
      <c r="R155" s="100"/>
      <c r="S155" s="42">
        <v>6750</v>
      </c>
      <c r="T155" s="12">
        <f t="shared" si="48"/>
        <v>324000</v>
      </c>
      <c r="U155" s="102" t="s">
        <v>83</v>
      </c>
      <c r="V155" s="12">
        <f>+T155*0.18</f>
        <v>58320</v>
      </c>
      <c r="W155" s="12">
        <f t="shared" si="49"/>
        <v>265680</v>
      </c>
      <c r="X155" s="116"/>
      <c r="Y155" s="117">
        <f t="shared" si="53"/>
        <v>645180</v>
      </c>
      <c r="Z155" s="12"/>
      <c r="AA155" s="12">
        <f>+Y155-Z155</f>
        <v>645180</v>
      </c>
      <c r="AB155" s="12">
        <v>0.02</v>
      </c>
      <c r="AC155" s="12">
        <f>+AA155*AB155/100</f>
        <v>129.036</v>
      </c>
      <c r="AD155" s="42"/>
      <c r="AE155" s="12"/>
    </row>
    <row r="156" spans="1:31" s="46" customFormat="1" ht="21">
      <c r="A156" s="42" t="s">
        <v>0</v>
      </c>
      <c r="B156" s="42" t="s">
        <v>1</v>
      </c>
      <c r="C156" s="45" t="s">
        <v>1020</v>
      </c>
      <c r="D156" s="51" t="s">
        <v>672</v>
      </c>
      <c r="E156" s="10" t="s">
        <v>909</v>
      </c>
      <c r="F156" s="47" t="s">
        <v>137</v>
      </c>
      <c r="G156" s="42"/>
      <c r="H156" s="42"/>
      <c r="I156" s="44">
        <v>65</v>
      </c>
      <c r="J156" s="44">
        <f t="shared" si="47"/>
        <v>65</v>
      </c>
      <c r="K156" s="42">
        <v>15000</v>
      </c>
      <c r="L156" s="42">
        <f>+K156*J156</f>
        <v>975000</v>
      </c>
      <c r="M156" s="42"/>
      <c r="N156" s="42" t="s">
        <v>62</v>
      </c>
      <c r="O156" s="101" t="s">
        <v>446</v>
      </c>
      <c r="P156" s="45">
        <v>2</v>
      </c>
      <c r="Q156" s="100">
        <v>48</v>
      </c>
      <c r="R156" s="100"/>
      <c r="S156" s="42">
        <v>6750</v>
      </c>
      <c r="T156" s="12">
        <f t="shared" si="48"/>
        <v>324000</v>
      </c>
      <c r="U156" s="102" t="s">
        <v>83</v>
      </c>
      <c r="V156" s="12">
        <f>+T156*0.18</f>
        <v>58320</v>
      </c>
      <c r="W156" s="12">
        <f t="shared" si="49"/>
        <v>265680</v>
      </c>
      <c r="X156" s="116"/>
      <c r="Y156" s="117">
        <f t="shared" si="53"/>
        <v>1240680</v>
      </c>
      <c r="Z156" s="12"/>
      <c r="AA156" s="12">
        <f>+Y156-Z156</f>
        <v>1240680</v>
      </c>
      <c r="AB156" s="12">
        <v>0.02</v>
      </c>
      <c r="AC156" s="12">
        <f>+AA156*AB156/100</f>
        <v>248.13600000000002</v>
      </c>
      <c r="AD156" s="42"/>
      <c r="AE156" s="12"/>
    </row>
    <row r="157" spans="1:31" s="46" customFormat="1" ht="21">
      <c r="A157" s="42"/>
      <c r="B157" s="42"/>
      <c r="C157" s="45"/>
      <c r="D157" s="45"/>
      <c r="E157" s="45"/>
      <c r="F157" s="47"/>
      <c r="G157" s="42"/>
      <c r="H157" s="42"/>
      <c r="I157" s="44"/>
      <c r="J157" s="44">
        <f t="shared" si="47"/>
        <v>0</v>
      </c>
      <c r="K157" s="42"/>
      <c r="L157" s="42">
        <f t="shared" si="29"/>
        <v>0</v>
      </c>
      <c r="M157" s="42"/>
      <c r="N157" s="42"/>
      <c r="O157" s="42"/>
      <c r="P157" s="31"/>
      <c r="Q157" s="42"/>
      <c r="R157" s="42"/>
      <c r="S157" s="42"/>
      <c r="T157" s="12">
        <f t="shared" si="48"/>
        <v>0</v>
      </c>
      <c r="U157" s="45"/>
      <c r="V157" s="12">
        <f>+T157*0</f>
        <v>0</v>
      </c>
      <c r="W157" s="12">
        <f t="shared" si="49"/>
        <v>0</v>
      </c>
      <c r="X157" s="116"/>
      <c r="Y157" s="117">
        <f t="shared" si="53"/>
        <v>0</v>
      </c>
      <c r="Z157" s="12"/>
      <c r="AA157" s="12">
        <f t="shared" si="50"/>
        <v>0</v>
      </c>
      <c r="AB157" s="12"/>
      <c r="AC157" s="12">
        <f t="shared" si="51"/>
        <v>0</v>
      </c>
      <c r="AD157" s="42"/>
      <c r="AE157" s="12"/>
    </row>
    <row r="158" spans="1:31" s="46" customFormat="1" ht="21">
      <c r="A158" s="42"/>
      <c r="B158" s="42"/>
      <c r="C158" s="45"/>
      <c r="D158" s="45"/>
      <c r="E158" s="45"/>
      <c r="F158" s="47"/>
      <c r="G158" s="42"/>
      <c r="H158" s="42"/>
      <c r="I158" s="44"/>
      <c r="J158" s="44">
        <f t="shared" si="47"/>
        <v>0</v>
      </c>
      <c r="K158" s="42"/>
      <c r="L158" s="42">
        <f t="shared" si="29"/>
        <v>0</v>
      </c>
      <c r="M158" s="42"/>
      <c r="N158" s="42"/>
      <c r="O158" s="42"/>
      <c r="P158" s="31"/>
      <c r="Q158" s="42"/>
      <c r="R158" s="42"/>
      <c r="S158" s="42"/>
      <c r="T158" s="12">
        <f t="shared" si="48"/>
        <v>0</v>
      </c>
      <c r="U158" s="45"/>
      <c r="V158" s="12">
        <f>+T158*0</f>
        <v>0</v>
      </c>
      <c r="W158" s="12">
        <f t="shared" si="49"/>
        <v>0</v>
      </c>
      <c r="X158" s="116"/>
      <c r="Y158" s="117">
        <f t="shared" si="53"/>
        <v>0</v>
      </c>
      <c r="Z158" s="12"/>
      <c r="AA158" s="12">
        <f t="shared" si="50"/>
        <v>0</v>
      </c>
      <c r="AB158" s="12"/>
      <c r="AC158" s="12">
        <f t="shared" si="51"/>
        <v>0</v>
      </c>
      <c r="AD158" s="42"/>
      <c r="AE158" s="12"/>
    </row>
    <row r="159" spans="1:31" s="46" customFormat="1" ht="21">
      <c r="A159" s="42" t="s">
        <v>0</v>
      </c>
      <c r="B159" s="42" t="s">
        <v>1</v>
      </c>
      <c r="C159" s="45" t="s">
        <v>1021</v>
      </c>
      <c r="D159" s="51" t="s">
        <v>643</v>
      </c>
      <c r="E159" s="29" t="s">
        <v>907</v>
      </c>
      <c r="F159" s="47" t="s">
        <v>137</v>
      </c>
      <c r="G159" s="42"/>
      <c r="H159" s="42"/>
      <c r="I159" s="44">
        <v>87.4</v>
      </c>
      <c r="J159" s="44">
        <f t="shared" si="47"/>
        <v>87.4</v>
      </c>
      <c r="K159" s="42">
        <v>20000</v>
      </c>
      <c r="L159" s="42">
        <f t="shared" si="29"/>
        <v>1748000</v>
      </c>
      <c r="M159" s="42"/>
      <c r="N159" s="42" t="s">
        <v>64</v>
      </c>
      <c r="O159" s="101" t="s">
        <v>446</v>
      </c>
      <c r="P159" s="45">
        <v>2</v>
      </c>
      <c r="Q159" s="100">
        <v>192</v>
      </c>
      <c r="R159" s="100"/>
      <c r="S159" s="42">
        <v>6550</v>
      </c>
      <c r="T159" s="12">
        <f t="shared" si="48"/>
        <v>1257600</v>
      </c>
      <c r="U159" s="45" t="s">
        <v>144</v>
      </c>
      <c r="V159" s="12">
        <f>+T159*0.07</f>
        <v>88032.00000000001</v>
      </c>
      <c r="W159" s="12">
        <f t="shared" si="49"/>
        <v>1169568</v>
      </c>
      <c r="X159" s="116"/>
      <c r="Y159" s="117">
        <f t="shared" si="53"/>
        <v>2917568</v>
      </c>
      <c r="Z159" s="12"/>
      <c r="AA159" s="12">
        <f t="shared" si="50"/>
        <v>2917568</v>
      </c>
      <c r="AB159" s="12">
        <v>0.02</v>
      </c>
      <c r="AC159" s="12">
        <f t="shared" si="51"/>
        <v>583.5136</v>
      </c>
      <c r="AD159" s="42"/>
      <c r="AE159" s="12"/>
    </row>
    <row r="160" spans="1:31" s="46" customFormat="1" ht="21">
      <c r="A160" s="42"/>
      <c r="B160" s="42"/>
      <c r="C160" s="45"/>
      <c r="D160" s="45"/>
      <c r="E160" s="45"/>
      <c r="F160" s="47"/>
      <c r="G160" s="42"/>
      <c r="H160" s="42"/>
      <c r="I160" s="44"/>
      <c r="J160" s="44">
        <f t="shared" si="47"/>
        <v>0</v>
      </c>
      <c r="K160" s="42"/>
      <c r="L160" s="42">
        <f t="shared" si="29"/>
        <v>0</v>
      </c>
      <c r="M160" s="42"/>
      <c r="N160" s="42"/>
      <c r="O160" s="100"/>
      <c r="P160" s="31"/>
      <c r="Q160" s="100"/>
      <c r="R160" s="100"/>
      <c r="S160" s="42"/>
      <c r="T160" s="12">
        <f t="shared" si="48"/>
        <v>0</v>
      </c>
      <c r="U160" s="45"/>
      <c r="V160" s="12">
        <f aca="true" t="shared" si="54" ref="V160:V166">+T160*0</f>
        <v>0</v>
      </c>
      <c r="W160" s="12">
        <f t="shared" si="49"/>
        <v>0</v>
      </c>
      <c r="X160" s="116"/>
      <c r="Y160" s="117">
        <f t="shared" si="53"/>
        <v>0</v>
      </c>
      <c r="Z160" s="12"/>
      <c r="AA160" s="12">
        <f t="shared" si="50"/>
        <v>0</v>
      </c>
      <c r="AB160" s="12"/>
      <c r="AC160" s="12">
        <f t="shared" si="51"/>
        <v>0</v>
      </c>
      <c r="AD160" s="42"/>
      <c r="AE160" s="12"/>
    </row>
    <row r="161" spans="1:31" s="46" customFormat="1" ht="21">
      <c r="A161" s="42"/>
      <c r="B161" s="42"/>
      <c r="C161" s="45"/>
      <c r="D161" s="45"/>
      <c r="E161" s="45"/>
      <c r="F161" s="47"/>
      <c r="G161" s="42"/>
      <c r="H161" s="42"/>
      <c r="I161" s="44"/>
      <c r="J161" s="44">
        <f t="shared" si="47"/>
        <v>0</v>
      </c>
      <c r="K161" s="42"/>
      <c r="L161" s="42">
        <f t="shared" si="29"/>
        <v>0</v>
      </c>
      <c r="M161" s="42"/>
      <c r="N161" s="42"/>
      <c r="O161" s="42"/>
      <c r="P161" s="31"/>
      <c r="Q161" s="42"/>
      <c r="R161" s="42"/>
      <c r="S161" s="42"/>
      <c r="T161" s="12">
        <f t="shared" si="48"/>
        <v>0</v>
      </c>
      <c r="U161" s="45"/>
      <c r="V161" s="12">
        <f t="shared" si="54"/>
        <v>0</v>
      </c>
      <c r="W161" s="12">
        <f t="shared" si="49"/>
        <v>0</v>
      </c>
      <c r="X161" s="116"/>
      <c r="Y161" s="117">
        <f t="shared" si="53"/>
        <v>0</v>
      </c>
      <c r="Z161" s="12"/>
      <c r="AA161" s="12">
        <f t="shared" si="50"/>
        <v>0</v>
      </c>
      <c r="AB161" s="12"/>
      <c r="AC161" s="12">
        <f t="shared" si="51"/>
        <v>0</v>
      </c>
      <c r="AD161" s="42"/>
      <c r="AE161" s="12"/>
    </row>
    <row r="162" spans="1:31" s="46" customFormat="1" ht="21">
      <c r="A162" s="42" t="s">
        <v>0</v>
      </c>
      <c r="B162" s="42" t="s">
        <v>1</v>
      </c>
      <c r="C162" s="45" t="s">
        <v>1022</v>
      </c>
      <c r="D162" s="45" t="s">
        <v>644</v>
      </c>
      <c r="E162" s="29" t="s">
        <v>907</v>
      </c>
      <c r="F162" s="47" t="s">
        <v>177</v>
      </c>
      <c r="G162" s="42">
        <v>1</v>
      </c>
      <c r="H162" s="42"/>
      <c r="I162" s="44">
        <v>37.7</v>
      </c>
      <c r="J162" s="44">
        <f t="shared" si="47"/>
        <v>437.7</v>
      </c>
      <c r="K162" s="42">
        <v>10000</v>
      </c>
      <c r="L162" s="42">
        <f t="shared" si="29"/>
        <v>4377000</v>
      </c>
      <c r="M162" s="42"/>
      <c r="N162" s="42"/>
      <c r="O162" s="100"/>
      <c r="P162" s="31"/>
      <c r="Q162" s="100"/>
      <c r="R162" s="100"/>
      <c r="S162" s="42"/>
      <c r="T162" s="12">
        <f t="shared" si="48"/>
        <v>0</v>
      </c>
      <c r="U162" s="45"/>
      <c r="V162" s="12">
        <f t="shared" si="54"/>
        <v>0</v>
      </c>
      <c r="W162" s="12">
        <f t="shared" si="49"/>
        <v>0</v>
      </c>
      <c r="X162" s="116"/>
      <c r="Y162" s="117">
        <f t="shared" si="53"/>
        <v>4377000</v>
      </c>
      <c r="Z162" s="12">
        <f>+Y162</f>
        <v>4377000</v>
      </c>
      <c r="AA162" s="12">
        <f t="shared" si="50"/>
        <v>0</v>
      </c>
      <c r="AB162" s="12"/>
      <c r="AC162" s="12">
        <f t="shared" si="51"/>
        <v>0</v>
      </c>
      <c r="AD162" s="42"/>
      <c r="AE162" s="12"/>
    </row>
    <row r="163" spans="1:31" s="46" customFormat="1" ht="21">
      <c r="A163" s="42" t="s">
        <v>0</v>
      </c>
      <c r="B163" s="42" t="s">
        <v>1</v>
      </c>
      <c r="C163" s="45" t="s">
        <v>1023</v>
      </c>
      <c r="D163" s="45" t="s">
        <v>645</v>
      </c>
      <c r="E163" s="29" t="s">
        <v>907</v>
      </c>
      <c r="F163" s="47" t="s">
        <v>177</v>
      </c>
      <c r="G163" s="42">
        <v>2</v>
      </c>
      <c r="H163" s="42">
        <v>2</v>
      </c>
      <c r="I163" s="44">
        <v>21.6</v>
      </c>
      <c r="J163" s="44">
        <f t="shared" si="47"/>
        <v>1021.6</v>
      </c>
      <c r="K163" s="42">
        <v>4350</v>
      </c>
      <c r="L163" s="42">
        <f t="shared" si="29"/>
        <v>4443960</v>
      </c>
      <c r="M163" s="42"/>
      <c r="N163" s="42"/>
      <c r="O163" s="100"/>
      <c r="P163" s="31"/>
      <c r="Q163" s="100"/>
      <c r="R163" s="100"/>
      <c r="S163" s="42"/>
      <c r="T163" s="12">
        <f t="shared" si="48"/>
        <v>0</v>
      </c>
      <c r="U163" s="45"/>
      <c r="V163" s="12">
        <f t="shared" si="54"/>
        <v>0</v>
      </c>
      <c r="W163" s="12">
        <f t="shared" si="49"/>
        <v>0</v>
      </c>
      <c r="X163" s="116"/>
      <c r="Y163" s="117">
        <f t="shared" si="53"/>
        <v>4443960</v>
      </c>
      <c r="Z163" s="12">
        <f>+Y163</f>
        <v>4443960</v>
      </c>
      <c r="AA163" s="12">
        <f t="shared" si="50"/>
        <v>0</v>
      </c>
      <c r="AB163" s="12"/>
      <c r="AC163" s="12">
        <f t="shared" si="51"/>
        <v>0</v>
      </c>
      <c r="AD163" s="42"/>
      <c r="AE163" s="12"/>
    </row>
    <row r="164" spans="1:31" s="46" customFormat="1" ht="21">
      <c r="A164" s="42"/>
      <c r="B164" s="42"/>
      <c r="C164" s="45"/>
      <c r="D164" s="45"/>
      <c r="E164" s="45"/>
      <c r="F164" s="47"/>
      <c r="G164" s="42"/>
      <c r="H164" s="42"/>
      <c r="I164" s="44"/>
      <c r="J164" s="44">
        <f t="shared" si="47"/>
        <v>0</v>
      </c>
      <c r="K164" s="42"/>
      <c r="L164" s="42">
        <f t="shared" si="29"/>
        <v>0</v>
      </c>
      <c r="M164" s="42"/>
      <c r="N164" s="42"/>
      <c r="O164" s="42"/>
      <c r="P164" s="31"/>
      <c r="Q164" s="42"/>
      <c r="R164" s="42"/>
      <c r="S164" s="42"/>
      <c r="T164" s="12">
        <f t="shared" si="48"/>
        <v>0</v>
      </c>
      <c r="U164" s="45"/>
      <c r="V164" s="12">
        <f t="shared" si="54"/>
        <v>0</v>
      </c>
      <c r="W164" s="12">
        <f t="shared" si="49"/>
        <v>0</v>
      </c>
      <c r="X164" s="116"/>
      <c r="Y164" s="117">
        <f t="shared" si="53"/>
        <v>0</v>
      </c>
      <c r="Z164" s="12"/>
      <c r="AA164" s="12">
        <f t="shared" si="50"/>
        <v>0</v>
      </c>
      <c r="AB164" s="12"/>
      <c r="AC164" s="12">
        <f t="shared" si="51"/>
        <v>0</v>
      </c>
      <c r="AD164" s="42"/>
      <c r="AE164" s="12"/>
    </row>
    <row r="165" spans="1:31" s="46" customFormat="1" ht="21">
      <c r="A165" s="42"/>
      <c r="B165" s="42"/>
      <c r="C165" s="45"/>
      <c r="D165" s="45"/>
      <c r="E165" s="45"/>
      <c r="F165" s="47"/>
      <c r="G165" s="42"/>
      <c r="H165" s="42"/>
      <c r="I165" s="44"/>
      <c r="J165" s="44">
        <f t="shared" si="47"/>
        <v>0</v>
      </c>
      <c r="K165" s="42"/>
      <c r="L165" s="42">
        <f t="shared" si="29"/>
        <v>0</v>
      </c>
      <c r="M165" s="42"/>
      <c r="N165" s="42"/>
      <c r="O165" s="42"/>
      <c r="P165" s="31"/>
      <c r="Q165" s="42"/>
      <c r="R165" s="42"/>
      <c r="S165" s="42"/>
      <c r="T165" s="12">
        <f t="shared" si="48"/>
        <v>0</v>
      </c>
      <c r="U165" s="45"/>
      <c r="V165" s="12">
        <f t="shared" si="54"/>
        <v>0</v>
      </c>
      <c r="W165" s="12">
        <f t="shared" si="49"/>
        <v>0</v>
      </c>
      <c r="X165" s="116"/>
      <c r="Y165" s="117">
        <f t="shared" si="53"/>
        <v>0</v>
      </c>
      <c r="Z165" s="12"/>
      <c r="AA165" s="12">
        <f t="shared" si="50"/>
        <v>0</v>
      </c>
      <c r="AB165" s="12"/>
      <c r="AC165" s="12">
        <f t="shared" si="51"/>
        <v>0</v>
      </c>
      <c r="AD165" s="42"/>
      <c r="AE165" s="12"/>
    </row>
    <row r="166" spans="1:31" s="46" customFormat="1" ht="21">
      <c r="A166" s="42" t="s">
        <v>0</v>
      </c>
      <c r="B166" s="42" t="s">
        <v>1</v>
      </c>
      <c r="C166" s="45" t="s">
        <v>1024</v>
      </c>
      <c r="D166" s="45" t="s">
        <v>646</v>
      </c>
      <c r="E166" s="30" t="s">
        <v>908</v>
      </c>
      <c r="F166" s="47" t="s">
        <v>140</v>
      </c>
      <c r="G166" s="42"/>
      <c r="H166" s="42"/>
      <c r="I166" s="44">
        <v>49.9</v>
      </c>
      <c r="J166" s="44">
        <f aca="true" t="shared" si="55" ref="J166:J177">+I166+(H166*100)+(G166*400)</f>
        <v>49.9</v>
      </c>
      <c r="K166" s="42">
        <v>20000</v>
      </c>
      <c r="L166" s="42">
        <f t="shared" si="29"/>
        <v>998000</v>
      </c>
      <c r="M166" s="42"/>
      <c r="N166" s="42"/>
      <c r="O166" s="100"/>
      <c r="P166" s="45"/>
      <c r="Q166" s="100"/>
      <c r="R166" s="100"/>
      <c r="S166" s="42"/>
      <c r="T166" s="12">
        <f aca="true" t="shared" si="56" ref="T166:T177">+Q166*S166</f>
        <v>0</v>
      </c>
      <c r="U166" s="45"/>
      <c r="V166" s="12">
        <f t="shared" si="54"/>
        <v>0</v>
      </c>
      <c r="W166" s="12">
        <f aca="true" t="shared" si="57" ref="W166:W177">+T166-V166</f>
        <v>0</v>
      </c>
      <c r="X166" s="116"/>
      <c r="Y166" s="117">
        <f t="shared" si="53"/>
        <v>998000</v>
      </c>
      <c r="Z166" s="12"/>
      <c r="AA166" s="12">
        <f t="shared" si="50"/>
        <v>998000</v>
      </c>
      <c r="AB166" s="12">
        <v>0.3</v>
      </c>
      <c r="AC166" s="12">
        <f t="shared" si="51"/>
        <v>2994</v>
      </c>
      <c r="AD166" s="42"/>
      <c r="AE166" s="12"/>
    </row>
    <row r="167" spans="1:31" s="46" customFormat="1" ht="21">
      <c r="A167" s="42" t="s">
        <v>0</v>
      </c>
      <c r="B167" s="42" t="s">
        <v>1</v>
      </c>
      <c r="C167" s="45" t="s">
        <v>1025</v>
      </c>
      <c r="D167" s="45" t="s">
        <v>647</v>
      </c>
      <c r="E167" s="30" t="s">
        <v>908</v>
      </c>
      <c r="F167" s="47" t="s">
        <v>137</v>
      </c>
      <c r="G167" s="42"/>
      <c r="H167" s="42"/>
      <c r="I167" s="44">
        <v>50.1</v>
      </c>
      <c r="J167" s="44">
        <f t="shared" si="55"/>
        <v>50.1</v>
      </c>
      <c r="K167" s="42">
        <v>20000</v>
      </c>
      <c r="L167" s="42">
        <f t="shared" si="29"/>
        <v>1002000</v>
      </c>
      <c r="M167" s="42"/>
      <c r="N167" s="42" t="s">
        <v>64</v>
      </c>
      <c r="O167" s="101" t="s">
        <v>446</v>
      </c>
      <c r="P167" s="45">
        <v>2</v>
      </c>
      <c r="Q167" s="100">
        <v>192</v>
      </c>
      <c r="R167" s="100"/>
      <c r="S167" s="42">
        <v>6550</v>
      </c>
      <c r="T167" s="12">
        <f t="shared" si="56"/>
        <v>1257600</v>
      </c>
      <c r="U167" s="45" t="s">
        <v>321</v>
      </c>
      <c r="V167" s="12">
        <f>+T167*0.02</f>
        <v>25152</v>
      </c>
      <c r="W167" s="12">
        <f t="shared" si="57"/>
        <v>1232448</v>
      </c>
      <c r="X167" s="116"/>
      <c r="Y167" s="117">
        <f aca="true" t="shared" si="58" ref="Y167:Y177">+L167+W167</f>
        <v>2234448</v>
      </c>
      <c r="Z167" s="12"/>
      <c r="AA167" s="12">
        <f t="shared" si="50"/>
        <v>2234448</v>
      </c>
      <c r="AB167" s="12">
        <v>0.02</v>
      </c>
      <c r="AC167" s="12">
        <f t="shared" si="51"/>
        <v>446.8896</v>
      </c>
      <c r="AD167" s="42"/>
      <c r="AE167" s="12"/>
    </row>
    <row r="168" spans="1:31" s="46" customFormat="1" ht="21">
      <c r="A168" s="42" t="s">
        <v>0</v>
      </c>
      <c r="B168" s="42" t="s">
        <v>1</v>
      </c>
      <c r="C168" s="45" t="s">
        <v>1026</v>
      </c>
      <c r="D168" s="45" t="s">
        <v>648</v>
      </c>
      <c r="E168" s="30" t="s">
        <v>908</v>
      </c>
      <c r="F168" s="47" t="s">
        <v>137</v>
      </c>
      <c r="G168" s="42"/>
      <c r="H168" s="42"/>
      <c r="I168" s="44">
        <v>50.1</v>
      </c>
      <c r="J168" s="44">
        <f t="shared" si="55"/>
        <v>50.1</v>
      </c>
      <c r="K168" s="42">
        <v>20000</v>
      </c>
      <c r="L168" s="42">
        <f t="shared" si="29"/>
        <v>1002000</v>
      </c>
      <c r="M168" s="42"/>
      <c r="N168" s="42" t="s">
        <v>117</v>
      </c>
      <c r="O168" s="104" t="s">
        <v>446</v>
      </c>
      <c r="P168" s="45">
        <v>2</v>
      </c>
      <c r="Q168" s="104">
        <v>25</v>
      </c>
      <c r="R168" s="100"/>
      <c r="S168" s="42">
        <v>2500</v>
      </c>
      <c r="T168" s="12">
        <f t="shared" si="56"/>
        <v>62500</v>
      </c>
      <c r="U168" s="45" t="s">
        <v>321</v>
      </c>
      <c r="V168" s="12">
        <f>+T168*0.02</f>
        <v>1250</v>
      </c>
      <c r="W168" s="12">
        <f t="shared" si="57"/>
        <v>61250</v>
      </c>
      <c r="X168" s="116"/>
      <c r="Y168" s="117">
        <f t="shared" si="58"/>
        <v>1063250</v>
      </c>
      <c r="Z168" s="12"/>
      <c r="AA168" s="12">
        <f t="shared" si="50"/>
        <v>1063250</v>
      </c>
      <c r="AB168" s="12">
        <v>0.02</v>
      </c>
      <c r="AC168" s="12">
        <f t="shared" si="51"/>
        <v>212.65</v>
      </c>
      <c r="AD168" s="42"/>
      <c r="AE168" s="12"/>
    </row>
    <row r="169" spans="1:31" s="46" customFormat="1" ht="21">
      <c r="A169" s="42" t="s">
        <v>0</v>
      </c>
      <c r="B169" s="42" t="s">
        <v>1</v>
      </c>
      <c r="C169" s="45" t="s">
        <v>1027</v>
      </c>
      <c r="D169" s="45" t="s">
        <v>649</v>
      </c>
      <c r="E169" s="10" t="s">
        <v>910</v>
      </c>
      <c r="F169" s="47" t="s">
        <v>137</v>
      </c>
      <c r="G169" s="42"/>
      <c r="H169" s="42"/>
      <c r="I169" s="44">
        <v>71</v>
      </c>
      <c r="J169" s="44">
        <f t="shared" si="55"/>
        <v>71</v>
      </c>
      <c r="K169" s="42">
        <v>6000</v>
      </c>
      <c r="L169" s="42">
        <f t="shared" si="29"/>
        <v>426000</v>
      </c>
      <c r="M169" s="42"/>
      <c r="N169" s="42" t="s">
        <v>64</v>
      </c>
      <c r="O169" s="101" t="s">
        <v>446</v>
      </c>
      <c r="P169" s="45">
        <v>2</v>
      </c>
      <c r="Q169" s="100">
        <v>63</v>
      </c>
      <c r="R169" s="100"/>
      <c r="S169" s="42">
        <v>6550</v>
      </c>
      <c r="T169" s="12">
        <f t="shared" si="56"/>
        <v>412650</v>
      </c>
      <c r="U169" s="102" t="s">
        <v>82</v>
      </c>
      <c r="V169" s="12">
        <f>+T169*0.16</f>
        <v>66024</v>
      </c>
      <c r="W169" s="12">
        <f t="shared" si="57"/>
        <v>346626</v>
      </c>
      <c r="X169" s="116"/>
      <c r="Y169" s="117">
        <f t="shared" si="58"/>
        <v>772626</v>
      </c>
      <c r="Z169" s="12"/>
      <c r="AA169" s="12">
        <f t="shared" si="50"/>
        <v>772626</v>
      </c>
      <c r="AB169" s="12">
        <v>0.02</v>
      </c>
      <c r="AC169" s="12">
        <f t="shared" si="51"/>
        <v>154.5252</v>
      </c>
      <c r="AD169" s="42"/>
      <c r="AE169" s="12"/>
    </row>
    <row r="170" spans="1:31" s="46" customFormat="1" ht="21">
      <c r="A170" s="42" t="s">
        <v>0</v>
      </c>
      <c r="B170" s="42" t="s">
        <v>1</v>
      </c>
      <c r="C170" s="45" t="s">
        <v>1028</v>
      </c>
      <c r="D170" s="51" t="s">
        <v>650</v>
      </c>
      <c r="E170" s="10" t="s">
        <v>910</v>
      </c>
      <c r="F170" s="47" t="s">
        <v>137</v>
      </c>
      <c r="G170" s="42"/>
      <c r="H170" s="42"/>
      <c r="I170" s="44">
        <v>6.8</v>
      </c>
      <c r="J170" s="44">
        <f t="shared" si="55"/>
        <v>6.8</v>
      </c>
      <c r="K170" s="42">
        <v>6000</v>
      </c>
      <c r="L170" s="42">
        <f aca="true" t="shared" si="59" ref="L170:L177">+K170*J170</f>
        <v>40800</v>
      </c>
      <c r="M170" s="42"/>
      <c r="N170" s="42"/>
      <c r="O170" s="100"/>
      <c r="P170" s="45"/>
      <c r="Q170" s="100"/>
      <c r="R170" s="100"/>
      <c r="S170" s="42"/>
      <c r="T170" s="12">
        <f t="shared" si="56"/>
        <v>0</v>
      </c>
      <c r="U170" s="45"/>
      <c r="V170" s="12">
        <f aca="true" t="shared" si="60" ref="V170:V177">+T170*0</f>
        <v>0</v>
      </c>
      <c r="W170" s="12">
        <f t="shared" si="57"/>
        <v>0</v>
      </c>
      <c r="X170" s="116"/>
      <c r="Y170" s="117">
        <f t="shared" si="58"/>
        <v>40800</v>
      </c>
      <c r="Z170" s="12"/>
      <c r="AA170" s="12">
        <f aca="true" t="shared" si="61" ref="AA170:AA177">+Y170-Z170</f>
        <v>40800</v>
      </c>
      <c r="AB170" s="12">
        <v>0.02</v>
      </c>
      <c r="AC170" s="12">
        <f aca="true" t="shared" si="62" ref="AC170:AC177">+AA170*AB170/100</f>
        <v>8.16</v>
      </c>
      <c r="AD170" s="42"/>
      <c r="AE170" s="12"/>
    </row>
    <row r="171" spans="1:31" s="46" customFormat="1" ht="21">
      <c r="A171" s="42" t="s">
        <v>0</v>
      </c>
      <c r="B171" s="42" t="s">
        <v>152</v>
      </c>
      <c r="C171" s="45" t="s">
        <v>1029</v>
      </c>
      <c r="D171" s="51" t="s">
        <v>651</v>
      </c>
      <c r="E171" s="29" t="s">
        <v>907</v>
      </c>
      <c r="F171" s="47" t="s">
        <v>140</v>
      </c>
      <c r="G171" s="42">
        <v>3</v>
      </c>
      <c r="H171" s="42"/>
      <c r="I171" s="44"/>
      <c r="J171" s="44">
        <f t="shared" si="55"/>
        <v>1200</v>
      </c>
      <c r="K171" s="42">
        <v>200</v>
      </c>
      <c r="L171" s="42">
        <f t="shared" si="59"/>
        <v>240000</v>
      </c>
      <c r="M171" s="42"/>
      <c r="N171" s="42"/>
      <c r="O171" s="100"/>
      <c r="P171" s="45"/>
      <c r="Q171" s="100"/>
      <c r="R171" s="100"/>
      <c r="S171" s="42"/>
      <c r="T171" s="12">
        <f t="shared" si="56"/>
        <v>0</v>
      </c>
      <c r="U171" s="45"/>
      <c r="V171" s="12">
        <f t="shared" si="60"/>
        <v>0</v>
      </c>
      <c r="W171" s="12">
        <f t="shared" si="57"/>
        <v>0</v>
      </c>
      <c r="X171" s="116"/>
      <c r="Y171" s="117">
        <f t="shared" si="58"/>
        <v>240000</v>
      </c>
      <c r="Z171" s="12"/>
      <c r="AA171" s="12">
        <f t="shared" si="61"/>
        <v>240000</v>
      </c>
      <c r="AB171" s="12">
        <v>0.3</v>
      </c>
      <c r="AC171" s="12">
        <f t="shared" si="62"/>
        <v>720</v>
      </c>
      <c r="AD171" s="42"/>
      <c r="AE171" s="12"/>
    </row>
    <row r="172" spans="1:31" s="46" customFormat="1" ht="21">
      <c r="A172" s="42" t="s">
        <v>0</v>
      </c>
      <c r="B172" s="42" t="s">
        <v>1</v>
      </c>
      <c r="C172" s="45" t="s">
        <v>1030</v>
      </c>
      <c r="D172" s="45" t="s">
        <v>652</v>
      </c>
      <c r="E172" s="29" t="s">
        <v>907</v>
      </c>
      <c r="F172" s="47" t="s">
        <v>140</v>
      </c>
      <c r="G172" s="42"/>
      <c r="H172" s="42">
        <v>1</v>
      </c>
      <c r="I172" s="44">
        <v>30.8</v>
      </c>
      <c r="J172" s="44">
        <f t="shared" si="55"/>
        <v>130.8</v>
      </c>
      <c r="K172" s="42">
        <v>15000</v>
      </c>
      <c r="L172" s="42">
        <f t="shared" si="59"/>
        <v>1962000.0000000002</v>
      </c>
      <c r="M172" s="42"/>
      <c r="N172" s="42"/>
      <c r="O172" s="100"/>
      <c r="P172" s="45"/>
      <c r="Q172" s="100"/>
      <c r="R172" s="100"/>
      <c r="S172" s="42"/>
      <c r="T172" s="12">
        <f t="shared" si="56"/>
        <v>0</v>
      </c>
      <c r="U172" s="45"/>
      <c r="V172" s="12">
        <f t="shared" si="60"/>
        <v>0</v>
      </c>
      <c r="W172" s="12">
        <f t="shared" si="57"/>
        <v>0</v>
      </c>
      <c r="X172" s="116"/>
      <c r="Y172" s="117">
        <f t="shared" si="58"/>
        <v>1962000.0000000002</v>
      </c>
      <c r="Z172" s="12"/>
      <c r="AA172" s="12">
        <f t="shared" si="61"/>
        <v>1962000.0000000002</v>
      </c>
      <c r="AB172" s="12">
        <v>0.3</v>
      </c>
      <c r="AC172" s="12">
        <f t="shared" si="62"/>
        <v>5886</v>
      </c>
      <c r="AD172" s="42"/>
      <c r="AE172" s="12"/>
    </row>
    <row r="173" spans="1:31" s="46" customFormat="1" ht="21">
      <c r="A173" s="42" t="s">
        <v>0</v>
      </c>
      <c r="B173" s="42" t="s">
        <v>1</v>
      </c>
      <c r="C173" s="45" t="s">
        <v>565</v>
      </c>
      <c r="D173" s="45" t="s">
        <v>653</v>
      </c>
      <c r="E173" s="29" t="s">
        <v>907</v>
      </c>
      <c r="F173" s="47" t="s">
        <v>140</v>
      </c>
      <c r="G173" s="42"/>
      <c r="H173" s="42"/>
      <c r="I173" s="44">
        <v>40.1</v>
      </c>
      <c r="J173" s="44">
        <f t="shared" si="55"/>
        <v>40.1</v>
      </c>
      <c r="K173" s="42">
        <v>8000</v>
      </c>
      <c r="L173" s="42">
        <f t="shared" si="59"/>
        <v>320800</v>
      </c>
      <c r="M173" s="42"/>
      <c r="N173" s="42"/>
      <c r="O173" s="42"/>
      <c r="P173" s="45"/>
      <c r="Q173" s="42"/>
      <c r="R173" s="100"/>
      <c r="S173" s="42"/>
      <c r="T173" s="12">
        <f t="shared" si="56"/>
        <v>0</v>
      </c>
      <c r="U173" s="45"/>
      <c r="V173" s="12">
        <f t="shared" si="60"/>
        <v>0</v>
      </c>
      <c r="W173" s="12">
        <f t="shared" si="57"/>
        <v>0</v>
      </c>
      <c r="X173" s="116"/>
      <c r="Y173" s="117">
        <f t="shared" si="58"/>
        <v>320800</v>
      </c>
      <c r="Z173" s="12"/>
      <c r="AA173" s="12">
        <f t="shared" si="61"/>
        <v>320800</v>
      </c>
      <c r="AB173" s="12">
        <v>0.3</v>
      </c>
      <c r="AC173" s="12">
        <f t="shared" si="62"/>
        <v>962.4</v>
      </c>
      <c r="AD173" s="42"/>
      <c r="AE173" s="12"/>
    </row>
    <row r="174" spans="1:31" s="46" customFormat="1" ht="21">
      <c r="A174" s="42" t="s">
        <v>0</v>
      </c>
      <c r="B174" s="42" t="s">
        <v>1</v>
      </c>
      <c r="C174" s="45" t="s">
        <v>1031</v>
      </c>
      <c r="D174" s="45" t="s">
        <v>654</v>
      </c>
      <c r="E174" s="29" t="s">
        <v>907</v>
      </c>
      <c r="F174" s="47" t="s">
        <v>140</v>
      </c>
      <c r="G174" s="42"/>
      <c r="H174" s="42"/>
      <c r="I174" s="44">
        <v>93.2</v>
      </c>
      <c r="J174" s="44">
        <f t="shared" si="55"/>
        <v>93.2</v>
      </c>
      <c r="K174" s="42">
        <v>8000</v>
      </c>
      <c r="L174" s="42">
        <f t="shared" si="59"/>
        <v>745600</v>
      </c>
      <c r="M174" s="42"/>
      <c r="N174" s="42"/>
      <c r="O174" s="100"/>
      <c r="P174" s="45"/>
      <c r="Q174" s="100"/>
      <c r="R174" s="100"/>
      <c r="S174" s="42"/>
      <c r="T174" s="12">
        <f t="shared" si="56"/>
        <v>0</v>
      </c>
      <c r="U174" s="45"/>
      <c r="V174" s="12">
        <f t="shared" si="60"/>
        <v>0</v>
      </c>
      <c r="W174" s="12">
        <f t="shared" si="57"/>
        <v>0</v>
      </c>
      <c r="X174" s="116"/>
      <c r="Y174" s="117">
        <f t="shared" si="58"/>
        <v>745600</v>
      </c>
      <c r="Z174" s="12"/>
      <c r="AA174" s="12">
        <f t="shared" si="61"/>
        <v>745600</v>
      </c>
      <c r="AB174" s="12">
        <v>0.3</v>
      </c>
      <c r="AC174" s="12">
        <f t="shared" si="62"/>
        <v>2236.8</v>
      </c>
      <c r="AD174" s="42"/>
      <c r="AE174" s="12"/>
    </row>
    <row r="175" spans="1:31" s="46" customFormat="1" ht="21">
      <c r="A175" s="42" t="s">
        <v>0</v>
      </c>
      <c r="B175" s="42" t="s">
        <v>1</v>
      </c>
      <c r="C175" s="45" t="s">
        <v>1032</v>
      </c>
      <c r="D175" s="45" t="s">
        <v>655</v>
      </c>
      <c r="E175" s="29" t="s">
        <v>907</v>
      </c>
      <c r="F175" s="47" t="s">
        <v>140</v>
      </c>
      <c r="G175" s="42"/>
      <c r="H175" s="42">
        <v>1</v>
      </c>
      <c r="I175" s="44">
        <v>8</v>
      </c>
      <c r="J175" s="44">
        <f t="shared" si="55"/>
        <v>108</v>
      </c>
      <c r="K175" s="42">
        <v>8000</v>
      </c>
      <c r="L175" s="42">
        <f t="shared" si="59"/>
        <v>864000</v>
      </c>
      <c r="M175" s="42"/>
      <c r="N175" s="42"/>
      <c r="O175" s="100"/>
      <c r="P175" s="45"/>
      <c r="Q175" s="100"/>
      <c r="R175" s="100"/>
      <c r="S175" s="42"/>
      <c r="T175" s="12">
        <f t="shared" si="56"/>
        <v>0</v>
      </c>
      <c r="U175" s="45"/>
      <c r="V175" s="12">
        <f t="shared" si="60"/>
        <v>0</v>
      </c>
      <c r="W175" s="12">
        <f t="shared" si="57"/>
        <v>0</v>
      </c>
      <c r="X175" s="116"/>
      <c r="Y175" s="117">
        <f t="shared" si="58"/>
        <v>864000</v>
      </c>
      <c r="Z175" s="12"/>
      <c r="AA175" s="12">
        <f t="shared" si="61"/>
        <v>864000</v>
      </c>
      <c r="AB175" s="12">
        <v>0.3</v>
      </c>
      <c r="AC175" s="12">
        <f t="shared" si="62"/>
        <v>2592</v>
      </c>
      <c r="AD175" s="42"/>
      <c r="AE175" s="12"/>
    </row>
    <row r="176" spans="1:31" s="46" customFormat="1" ht="21">
      <c r="A176" s="42" t="s">
        <v>0</v>
      </c>
      <c r="B176" s="42" t="s">
        <v>1</v>
      </c>
      <c r="C176" s="45" t="s">
        <v>1033</v>
      </c>
      <c r="D176" s="45" t="s">
        <v>656</v>
      </c>
      <c r="E176" s="29" t="s">
        <v>907</v>
      </c>
      <c r="F176" s="47" t="s">
        <v>140</v>
      </c>
      <c r="G176" s="42"/>
      <c r="H176" s="42"/>
      <c r="I176" s="44">
        <v>50.6</v>
      </c>
      <c r="J176" s="44">
        <f t="shared" si="55"/>
        <v>50.6</v>
      </c>
      <c r="K176" s="42">
        <v>15000</v>
      </c>
      <c r="L176" s="42">
        <f t="shared" si="59"/>
        <v>759000</v>
      </c>
      <c r="M176" s="42"/>
      <c r="N176" s="42"/>
      <c r="O176" s="42"/>
      <c r="P176" s="45"/>
      <c r="Q176" s="42"/>
      <c r="R176" s="100"/>
      <c r="S176" s="42"/>
      <c r="T176" s="12">
        <f t="shared" si="56"/>
        <v>0</v>
      </c>
      <c r="U176" s="45"/>
      <c r="V176" s="12">
        <f t="shared" si="60"/>
        <v>0</v>
      </c>
      <c r="W176" s="12">
        <f t="shared" si="57"/>
        <v>0</v>
      </c>
      <c r="X176" s="116"/>
      <c r="Y176" s="117">
        <f t="shared" si="58"/>
        <v>759000</v>
      </c>
      <c r="Z176" s="12"/>
      <c r="AA176" s="12">
        <f t="shared" si="61"/>
        <v>759000</v>
      </c>
      <c r="AB176" s="12">
        <v>0.3</v>
      </c>
      <c r="AC176" s="12">
        <f t="shared" si="62"/>
        <v>2277</v>
      </c>
      <c r="AD176" s="42"/>
      <c r="AE176" s="12"/>
    </row>
    <row r="177" spans="1:31" s="46" customFormat="1" ht="21">
      <c r="A177" s="42" t="s">
        <v>0</v>
      </c>
      <c r="B177" s="42" t="s">
        <v>1</v>
      </c>
      <c r="C177" s="45" t="s">
        <v>1034</v>
      </c>
      <c r="D177" s="45" t="s">
        <v>657</v>
      </c>
      <c r="E177" s="29" t="s">
        <v>907</v>
      </c>
      <c r="F177" s="47" t="s">
        <v>140</v>
      </c>
      <c r="G177" s="42">
        <v>7</v>
      </c>
      <c r="H177" s="42">
        <v>2</v>
      </c>
      <c r="I177" s="44"/>
      <c r="J177" s="44">
        <f t="shared" si="55"/>
        <v>3000</v>
      </c>
      <c r="K177" s="42">
        <v>5200</v>
      </c>
      <c r="L177" s="42">
        <f t="shared" si="59"/>
        <v>15600000</v>
      </c>
      <c r="M177" s="42"/>
      <c r="N177" s="42"/>
      <c r="O177" s="42"/>
      <c r="P177" s="45"/>
      <c r="Q177" s="42"/>
      <c r="R177" s="100"/>
      <c r="S177" s="42"/>
      <c r="T177" s="12">
        <f t="shared" si="56"/>
        <v>0</v>
      </c>
      <c r="U177" s="45"/>
      <c r="V177" s="12">
        <f t="shared" si="60"/>
        <v>0</v>
      </c>
      <c r="W177" s="12">
        <f t="shared" si="57"/>
        <v>0</v>
      </c>
      <c r="X177" s="116"/>
      <c r="Y177" s="117">
        <f t="shared" si="58"/>
        <v>15600000</v>
      </c>
      <c r="Z177" s="12"/>
      <c r="AA177" s="12">
        <f t="shared" si="61"/>
        <v>15600000</v>
      </c>
      <c r="AB177" s="12">
        <v>0.3</v>
      </c>
      <c r="AC177" s="12">
        <f t="shared" si="62"/>
        <v>46800</v>
      </c>
      <c r="AD177" s="42"/>
      <c r="AE177" s="12"/>
    </row>
    <row r="178" spans="1:31" s="46" customFormat="1" ht="21">
      <c r="A178" s="42" t="s">
        <v>0</v>
      </c>
      <c r="B178" s="42" t="s">
        <v>1</v>
      </c>
      <c r="C178" s="45" t="s">
        <v>1035</v>
      </c>
      <c r="D178" s="45" t="s">
        <v>658</v>
      </c>
      <c r="E178" s="29" t="s">
        <v>907</v>
      </c>
      <c r="F178" s="47" t="s">
        <v>143</v>
      </c>
      <c r="G178" s="42"/>
      <c r="H178" s="42">
        <v>2</v>
      </c>
      <c r="I178" s="44">
        <v>17.8</v>
      </c>
      <c r="J178" s="44">
        <f aca="true" t="shared" si="63" ref="J178:J189">+I178+(H178*100)+(G178*400)</f>
        <v>217.8</v>
      </c>
      <c r="K178" s="42">
        <v>15000</v>
      </c>
      <c r="L178" s="42">
        <f t="shared" si="29"/>
        <v>3267000</v>
      </c>
      <c r="M178" s="42"/>
      <c r="N178" s="50" t="s">
        <v>1769</v>
      </c>
      <c r="O178" s="100"/>
      <c r="P178" s="45"/>
      <c r="Q178" s="100"/>
      <c r="R178" s="100"/>
      <c r="S178" s="42"/>
      <c r="T178" s="12">
        <f aca="true" t="shared" si="64" ref="T178:T189">+Q178*S178</f>
        <v>0</v>
      </c>
      <c r="U178" s="45"/>
      <c r="V178" s="12">
        <f aca="true" t="shared" si="65" ref="V178:V185">+T178*0</f>
        <v>0</v>
      </c>
      <c r="W178" s="12">
        <f aca="true" t="shared" si="66" ref="W178:W189">+T178-V178</f>
        <v>0</v>
      </c>
      <c r="X178" s="116"/>
      <c r="Y178" s="117">
        <f>+L178+W178</f>
        <v>3267000</v>
      </c>
      <c r="Z178" s="12"/>
      <c r="AA178" s="12">
        <f t="shared" si="50"/>
        <v>3267000</v>
      </c>
      <c r="AB178" s="12">
        <v>0.3</v>
      </c>
      <c r="AC178" s="12">
        <f t="shared" si="51"/>
        <v>9801</v>
      </c>
      <c r="AD178" s="42"/>
      <c r="AE178" s="12"/>
    </row>
    <row r="179" spans="1:31" s="46" customFormat="1" ht="21">
      <c r="A179" s="42"/>
      <c r="B179" s="42"/>
      <c r="C179" s="45"/>
      <c r="D179" s="45"/>
      <c r="E179" s="45"/>
      <c r="F179" s="47"/>
      <c r="G179" s="42"/>
      <c r="H179" s="42"/>
      <c r="I179" s="44"/>
      <c r="J179" s="44">
        <f t="shared" si="63"/>
        <v>0</v>
      </c>
      <c r="K179" s="42"/>
      <c r="L179" s="42">
        <f>+K179*J179</f>
        <v>0</v>
      </c>
      <c r="M179" s="42"/>
      <c r="N179" s="42"/>
      <c r="O179" s="42"/>
      <c r="P179" s="31"/>
      <c r="Q179" s="42"/>
      <c r="R179" s="42"/>
      <c r="S179" s="42"/>
      <c r="T179" s="12">
        <f t="shared" si="64"/>
        <v>0</v>
      </c>
      <c r="U179" s="45"/>
      <c r="V179" s="12">
        <f t="shared" si="65"/>
        <v>0</v>
      </c>
      <c r="W179" s="12">
        <f t="shared" si="66"/>
        <v>0</v>
      </c>
      <c r="X179" s="116"/>
      <c r="Y179" s="117">
        <f>+L179+W179</f>
        <v>0</v>
      </c>
      <c r="Z179" s="12"/>
      <c r="AA179" s="12">
        <f>+Y179-Z179</f>
        <v>0</v>
      </c>
      <c r="AB179" s="12"/>
      <c r="AC179" s="12">
        <f>+AA179*AB179/100</f>
        <v>0</v>
      </c>
      <c r="AD179" s="42"/>
      <c r="AE179" s="12"/>
    </row>
    <row r="180" spans="1:31" s="46" customFormat="1" ht="21">
      <c r="A180" s="42"/>
      <c r="B180" s="42"/>
      <c r="C180" s="45"/>
      <c r="D180" s="45"/>
      <c r="E180" s="45"/>
      <c r="F180" s="47"/>
      <c r="G180" s="42"/>
      <c r="H180" s="42"/>
      <c r="I180" s="44"/>
      <c r="J180" s="44">
        <f t="shared" si="63"/>
        <v>0</v>
      </c>
      <c r="K180" s="42"/>
      <c r="L180" s="42">
        <f t="shared" si="29"/>
        <v>0</v>
      </c>
      <c r="M180" s="42"/>
      <c r="N180" s="42"/>
      <c r="O180" s="42"/>
      <c r="P180" s="31"/>
      <c r="Q180" s="42"/>
      <c r="R180" s="42"/>
      <c r="S180" s="42"/>
      <c r="T180" s="12">
        <f t="shared" si="64"/>
        <v>0</v>
      </c>
      <c r="U180" s="45"/>
      <c r="V180" s="12">
        <f t="shared" si="65"/>
        <v>0</v>
      </c>
      <c r="W180" s="12">
        <f t="shared" si="66"/>
        <v>0</v>
      </c>
      <c r="X180" s="116"/>
      <c r="Y180" s="117">
        <f aca="true" t="shared" si="67" ref="Y180:Y190">+L180+W180</f>
        <v>0</v>
      </c>
      <c r="Z180" s="12"/>
      <c r="AA180" s="12">
        <f t="shared" si="50"/>
        <v>0</v>
      </c>
      <c r="AB180" s="12"/>
      <c r="AC180" s="12">
        <f t="shared" si="51"/>
        <v>0</v>
      </c>
      <c r="AD180" s="42"/>
      <c r="AE180" s="12"/>
    </row>
    <row r="181" spans="1:31" s="46" customFormat="1" ht="21">
      <c r="A181" s="42" t="s">
        <v>0</v>
      </c>
      <c r="B181" s="42" t="s">
        <v>1</v>
      </c>
      <c r="C181" s="45" t="s">
        <v>180</v>
      </c>
      <c r="D181" s="45" t="s">
        <v>659</v>
      </c>
      <c r="E181" s="29" t="s">
        <v>907</v>
      </c>
      <c r="F181" s="47" t="s">
        <v>140</v>
      </c>
      <c r="G181" s="42"/>
      <c r="H181" s="42"/>
      <c r="I181" s="44">
        <v>49.8</v>
      </c>
      <c r="J181" s="44">
        <f t="shared" si="63"/>
        <v>49.8</v>
      </c>
      <c r="K181" s="42">
        <v>15000</v>
      </c>
      <c r="L181" s="42">
        <f t="shared" si="29"/>
        <v>747000</v>
      </c>
      <c r="M181" s="42"/>
      <c r="N181" s="42"/>
      <c r="O181" s="100"/>
      <c r="P181" s="45"/>
      <c r="Q181" s="100"/>
      <c r="R181" s="100"/>
      <c r="S181" s="42"/>
      <c r="T181" s="12">
        <f t="shared" si="64"/>
        <v>0</v>
      </c>
      <c r="U181" s="45"/>
      <c r="V181" s="12">
        <f t="shared" si="65"/>
        <v>0</v>
      </c>
      <c r="W181" s="12">
        <f t="shared" si="66"/>
        <v>0</v>
      </c>
      <c r="X181" s="116"/>
      <c r="Y181" s="117">
        <f t="shared" si="67"/>
        <v>747000</v>
      </c>
      <c r="Z181" s="12"/>
      <c r="AA181" s="12">
        <f t="shared" si="50"/>
        <v>747000</v>
      </c>
      <c r="AB181" s="12">
        <v>0.3</v>
      </c>
      <c r="AC181" s="12">
        <f t="shared" si="51"/>
        <v>2241</v>
      </c>
      <c r="AD181" s="42"/>
      <c r="AE181" s="12"/>
    </row>
    <row r="182" spans="1:31" s="46" customFormat="1" ht="21">
      <c r="A182" s="42" t="s">
        <v>0</v>
      </c>
      <c r="B182" s="42" t="s">
        <v>1</v>
      </c>
      <c r="C182" s="45" t="s">
        <v>1036</v>
      </c>
      <c r="D182" s="45" t="s">
        <v>660</v>
      </c>
      <c r="E182" s="29" t="s">
        <v>907</v>
      </c>
      <c r="F182" s="47" t="s">
        <v>140</v>
      </c>
      <c r="G182" s="42"/>
      <c r="H182" s="42"/>
      <c r="I182" s="44">
        <v>49.8</v>
      </c>
      <c r="J182" s="44">
        <f t="shared" si="63"/>
        <v>49.8</v>
      </c>
      <c r="K182" s="42">
        <v>18000</v>
      </c>
      <c r="L182" s="42">
        <f t="shared" si="29"/>
        <v>896400</v>
      </c>
      <c r="M182" s="42"/>
      <c r="N182" s="42"/>
      <c r="O182" s="100"/>
      <c r="P182" s="45"/>
      <c r="Q182" s="100"/>
      <c r="R182" s="100"/>
      <c r="S182" s="42"/>
      <c r="T182" s="12">
        <f t="shared" si="64"/>
        <v>0</v>
      </c>
      <c r="U182" s="45"/>
      <c r="V182" s="12">
        <f t="shared" si="65"/>
        <v>0</v>
      </c>
      <c r="W182" s="12">
        <f t="shared" si="66"/>
        <v>0</v>
      </c>
      <c r="X182" s="116"/>
      <c r="Y182" s="117">
        <f t="shared" si="67"/>
        <v>896400</v>
      </c>
      <c r="Z182" s="12"/>
      <c r="AA182" s="12">
        <f t="shared" si="50"/>
        <v>896400</v>
      </c>
      <c r="AB182" s="12">
        <v>0.3</v>
      </c>
      <c r="AC182" s="12">
        <f t="shared" si="51"/>
        <v>2689.2</v>
      </c>
      <c r="AD182" s="42"/>
      <c r="AE182" s="12"/>
    </row>
    <row r="183" spans="1:31" s="46" customFormat="1" ht="21">
      <c r="A183" s="42" t="s">
        <v>0</v>
      </c>
      <c r="B183" s="42" t="s">
        <v>1</v>
      </c>
      <c r="C183" s="45" t="s">
        <v>1037</v>
      </c>
      <c r="D183" s="45" t="s">
        <v>661</v>
      </c>
      <c r="E183" s="29" t="s">
        <v>907</v>
      </c>
      <c r="F183" s="47" t="s">
        <v>140</v>
      </c>
      <c r="G183" s="42"/>
      <c r="H183" s="42">
        <v>1</v>
      </c>
      <c r="I183" s="44"/>
      <c r="J183" s="44">
        <f t="shared" si="63"/>
        <v>100</v>
      </c>
      <c r="K183" s="42">
        <v>12000</v>
      </c>
      <c r="L183" s="42">
        <f t="shared" si="29"/>
        <v>1200000</v>
      </c>
      <c r="M183" s="42"/>
      <c r="N183" s="42"/>
      <c r="O183" s="42"/>
      <c r="P183" s="45"/>
      <c r="Q183" s="42"/>
      <c r="R183" s="100"/>
      <c r="S183" s="42"/>
      <c r="T183" s="12">
        <f t="shared" si="64"/>
        <v>0</v>
      </c>
      <c r="U183" s="45"/>
      <c r="V183" s="12">
        <f t="shared" si="65"/>
        <v>0</v>
      </c>
      <c r="W183" s="12">
        <f t="shared" si="66"/>
        <v>0</v>
      </c>
      <c r="X183" s="116"/>
      <c r="Y183" s="117">
        <f t="shared" si="67"/>
        <v>1200000</v>
      </c>
      <c r="Z183" s="12"/>
      <c r="AA183" s="12">
        <f t="shared" si="50"/>
        <v>1200000</v>
      </c>
      <c r="AB183" s="12">
        <v>0.3</v>
      </c>
      <c r="AC183" s="12">
        <f t="shared" si="51"/>
        <v>3600</v>
      </c>
      <c r="AD183" s="42"/>
      <c r="AE183" s="12"/>
    </row>
    <row r="184" spans="1:31" s="46" customFormat="1" ht="21">
      <c r="A184" s="42"/>
      <c r="B184" s="42"/>
      <c r="C184" s="45"/>
      <c r="D184" s="45"/>
      <c r="E184" s="45"/>
      <c r="F184" s="47"/>
      <c r="G184" s="42"/>
      <c r="H184" s="42"/>
      <c r="I184" s="44"/>
      <c r="J184" s="44">
        <f t="shared" si="63"/>
        <v>0</v>
      </c>
      <c r="K184" s="42"/>
      <c r="L184" s="42">
        <f t="shared" si="29"/>
        <v>0</v>
      </c>
      <c r="M184" s="42"/>
      <c r="N184" s="42"/>
      <c r="O184" s="42"/>
      <c r="P184" s="31"/>
      <c r="Q184" s="42"/>
      <c r="R184" s="42"/>
      <c r="S184" s="42"/>
      <c r="T184" s="12">
        <f t="shared" si="64"/>
        <v>0</v>
      </c>
      <c r="U184" s="45"/>
      <c r="V184" s="12">
        <f t="shared" si="65"/>
        <v>0</v>
      </c>
      <c r="W184" s="12">
        <f t="shared" si="66"/>
        <v>0</v>
      </c>
      <c r="X184" s="116"/>
      <c r="Y184" s="117">
        <f t="shared" si="67"/>
        <v>0</v>
      </c>
      <c r="Z184" s="12"/>
      <c r="AA184" s="12">
        <f t="shared" si="50"/>
        <v>0</v>
      </c>
      <c r="AB184" s="12"/>
      <c r="AC184" s="12">
        <f t="shared" si="51"/>
        <v>0</v>
      </c>
      <c r="AD184" s="42"/>
      <c r="AE184" s="12"/>
    </row>
    <row r="185" spans="1:31" s="46" customFormat="1" ht="21">
      <c r="A185" s="42" t="s">
        <v>0</v>
      </c>
      <c r="B185" s="42" t="s">
        <v>1</v>
      </c>
      <c r="C185" s="45" t="s">
        <v>1038</v>
      </c>
      <c r="D185" s="45" t="s">
        <v>662</v>
      </c>
      <c r="E185" s="29" t="s">
        <v>907</v>
      </c>
      <c r="F185" s="47" t="s">
        <v>140</v>
      </c>
      <c r="G185" s="42"/>
      <c r="H185" s="42"/>
      <c r="I185" s="44">
        <v>30</v>
      </c>
      <c r="J185" s="44">
        <f t="shared" si="63"/>
        <v>30</v>
      </c>
      <c r="K185" s="42">
        <v>10000</v>
      </c>
      <c r="L185" s="42">
        <f t="shared" si="29"/>
        <v>300000</v>
      </c>
      <c r="M185" s="42"/>
      <c r="N185" s="42"/>
      <c r="O185" s="100"/>
      <c r="P185" s="45"/>
      <c r="Q185" s="100"/>
      <c r="R185" s="100"/>
      <c r="S185" s="42"/>
      <c r="T185" s="12">
        <f t="shared" si="64"/>
        <v>0</v>
      </c>
      <c r="U185" s="45"/>
      <c r="V185" s="12">
        <f t="shared" si="65"/>
        <v>0</v>
      </c>
      <c r="W185" s="12">
        <f t="shared" si="66"/>
        <v>0</v>
      </c>
      <c r="X185" s="116"/>
      <c r="Y185" s="117">
        <f t="shared" si="67"/>
        <v>300000</v>
      </c>
      <c r="Z185" s="12"/>
      <c r="AA185" s="12">
        <f aca="true" t="shared" si="68" ref="AA185:AA240">+Y185-Z185</f>
        <v>300000</v>
      </c>
      <c r="AB185" s="12">
        <v>0.3</v>
      </c>
      <c r="AC185" s="12">
        <f aca="true" t="shared" si="69" ref="AC185:AC240">+AA185*AB185/100</f>
        <v>900</v>
      </c>
      <c r="AD185" s="42"/>
      <c r="AE185" s="12"/>
    </row>
    <row r="186" spans="1:31" s="46" customFormat="1" ht="21">
      <c r="A186" s="42" t="s">
        <v>0</v>
      </c>
      <c r="B186" s="42" t="s">
        <v>1</v>
      </c>
      <c r="C186" s="45" t="s">
        <v>1039</v>
      </c>
      <c r="D186" s="45" t="s">
        <v>663</v>
      </c>
      <c r="E186" s="29" t="s">
        <v>907</v>
      </c>
      <c r="F186" s="47" t="s">
        <v>137</v>
      </c>
      <c r="G186" s="42"/>
      <c r="H186" s="42"/>
      <c r="I186" s="44">
        <v>25</v>
      </c>
      <c r="J186" s="44">
        <f t="shared" si="63"/>
        <v>25</v>
      </c>
      <c r="K186" s="42">
        <v>10000</v>
      </c>
      <c r="L186" s="42">
        <f t="shared" si="29"/>
        <v>250000</v>
      </c>
      <c r="M186" s="42"/>
      <c r="N186" s="42" t="s">
        <v>60</v>
      </c>
      <c r="O186" s="101" t="s">
        <v>446</v>
      </c>
      <c r="P186" s="45">
        <v>2</v>
      </c>
      <c r="Q186" s="100">
        <v>48</v>
      </c>
      <c r="R186" s="100"/>
      <c r="S186" s="42">
        <v>7550</v>
      </c>
      <c r="T186" s="12">
        <f t="shared" si="64"/>
        <v>362400</v>
      </c>
      <c r="U186" s="102" t="s">
        <v>95</v>
      </c>
      <c r="V186" s="12">
        <f>+T186*0.48</f>
        <v>173952</v>
      </c>
      <c r="W186" s="12">
        <f t="shared" si="66"/>
        <v>188448</v>
      </c>
      <c r="X186" s="116"/>
      <c r="Y186" s="117">
        <f t="shared" si="67"/>
        <v>438448</v>
      </c>
      <c r="Z186" s="12">
        <f>+Y186</f>
        <v>438448</v>
      </c>
      <c r="AA186" s="12">
        <f t="shared" si="68"/>
        <v>0</v>
      </c>
      <c r="AB186" s="12"/>
      <c r="AC186" s="12">
        <f t="shared" si="69"/>
        <v>0</v>
      </c>
      <c r="AD186" s="42" t="s">
        <v>906</v>
      </c>
      <c r="AE186" s="12"/>
    </row>
    <row r="187" spans="1:31" s="46" customFormat="1" ht="21">
      <c r="A187" s="42" t="s">
        <v>0</v>
      </c>
      <c r="B187" s="42" t="s">
        <v>1</v>
      </c>
      <c r="C187" s="45" t="s">
        <v>1040</v>
      </c>
      <c r="D187" s="45" t="s">
        <v>664</v>
      </c>
      <c r="E187" s="29" t="s">
        <v>907</v>
      </c>
      <c r="F187" s="47" t="s">
        <v>137</v>
      </c>
      <c r="G187" s="42"/>
      <c r="H187" s="42"/>
      <c r="I187" s="44">
        <v>51.91</v>
      </c>
      <c r="J187" s="44">
        <f t="shared" si="63"/>
        <v>51.91</v>
      </c>
      <c r="K187" s="42">
        <v>8000</v>
      </c>
      <c r="L187" s="42">
        <f t="shared" si="29"/>
        <v>415280</v>
      </c>
      <c r="M187" s="42"/>
      <c r="N187" s="42" t="s">
        <v>159</v>
      </c>
      <c r="O187" s="101" t="s">
        <v>446</v>
      </c>
      <c r="P187" s="45">
        <v>2</v>
      </c>
      <c r="Q187" s="100">
        <f>28*3</f>
        <v>84</v>
      </c>
      <c r="R187" s="100"/>
      <c r="S187" s="42">
        <v>7550</v>
      </c>
      <c r="T187" s="12">
        <f t="shared" si="64"/>
        <v>634200</v>
      </c>
      <c r="U187" s="45" t="s">
        <v>150</v>
      </c>
      <c r="V187" s="12">
        <f>+T187*0.04</f>
        <v>25368</v>
      </c>
      <c r="W187" s="12">
        <f t="shared" si="66"/>
        <v>608832</v>
      </c>
      <c r="X187" s="116"/>
      <c r="Y187" s="117">
        <f t="shared" si="67"/>
        <v>1024112</v>
      </c>
      <c r="Z187" s="12"/>
      <c r="AA187" s="12">
        <f t="shared" si="68"/>
        <v>1024112</v>
      </c>
      <c r="AB187" s="12">
        <v>0.02</v>
      </c>
      <c r="AC187" s="12">
        <f t="shared" si="69"/>
        <v>204.82240000000002</v>
      </c>
      <c r="AD187" s="42"/>
      <c r="AE187" s="12"/>
    </row>
    <row r="188" spans="1:31" s="46" customFormat="1" ht="21">
      <c r="A188" s="42"/>
      <c r="B188" s="42"/>
      <c r="C188" s="45"/>
      <c r="D188" s="45"/>
      <c r="E188" s="45"/>
      <c r="F188" s="47"/>
      <c r="G188" s="42"/>
      <c r="H188" s="42"/>
      <c r="I188" s="44"/>
      <c r="J188" s="44">
        <f t="shared" si="63"/>
        <v>0</v>
      </c>
      <c r="K188" s="42"/>
      <c r="L188" s="42">
        <f t="shared" si="29"/>
        <v>0</v>
      </c>
      <c r="M188" s="42"/>
      <c r="N188" s="42"/>
      <c r="O188" s="42"/>
      <c r="P188" s="31"/>
      <c r="Q188" s="42"/>
      <c r="R188" s="42"/>
      <c r="S188" s="42"/>
      <c r="T188" s="12">
        <f t="shared" si="64"/>
        <v>0</v>
      </c>
      <c r="U188" s="45"/>
      <c r="V188" s="12">
        <f>+T188*0</f>
        <v>0</v>
      </c>
      <c r="W188" s="12">
        <f t="shared" si="66"/>
        <v>0</v>
      </c>
      <c r="X188" s="116"/>
      <c r="Y188" s="117">
        <f t="shared" si="67"/>
        <v>0</v>
      </c>
      <c r="Z188" s="12"/>
      <c r="AA188" s="12">
        <f t="shared" si="68"/>
        <v>0</v>
      </c>
      <c r="AB188" s="12"/>
      <c r="AC188" s="12">
        <f t="shared" si="69"/>
        <v>0</v>
      </c>
      <c r="AD188" s="42"/>
      <c r="AE188" s="12"/>
    </row>
    <row r="189" spans="1:31" s="46" customFormat="1" ht="21">
      <c r="A189" s="42"/>
      <c r="B189" s="42"/>
      <c r="C189" s="45"/>
      <c r="D189" s="45"/>
      <c r="E189" s="45"/>
      <c r="F189" s="47"/>
      <c r="G189" s="42"/>
      <c r="H189" s="42"/>
      <c r="I189" s="44"/>
      <c r="J189" s="44">
        <f t="shared" si="63"/>
        <v>0</v>
      </c>
      <c r="K189" s="42"/>
      <c r="L189" s="42">
        <f t="shared" si="29"/>
        <v>0</v>
      </c>
      <c r="M189" s="42"/>
      <c r="N189" s="42"/>
      <c r="O189" s="42"/>
      <c r="P189" s="31"/>
      <c r="Q189" s="42"/>
      <c r="R189" s="42"/>
      <c r="S189" s="42"/>
      <c r="T189" s="12">
        <f t="shared" si="64"/>
        <v>0</v>
      </c>
      <c r="U189" s="45"/>
      <c r="V189" s="12">
        <f>+T189*0</f>
        <v>0</v>
      </c>
      <c r="W189" s="12">
        <f t="shared" si="66"/>
        <v>0</v>
      </c>
      <c r="X189" s="116"/>
      <c r="Y189" s="117">
        <f t="shared" si="67"/>
        <v>0</v>
      </c>
      <c r="Z189" s="12"/>
      <c r="AA189" s="12">
        <f t="shared" si="68"/>
        <v>0</v>
      </c>
      <c r="AB189" s="12"/>
      <c r="AC189" s="12">
        <f t="shared" si="69"/>
        <v>0</v>
      </c>
      <c r="AD189" s="42"/>
      <c r="AE189" s="12"/>
    </row>
    <row r="190" spans="1:31" s="46" customFormat="1" ht="21">
      <c r="A190" s="42" t="s">
        <v>0</v>
      </c>
      <c r="B190" s="42" t="s">
        <v>1</v>
      </c>
      <c r="C190" s="45" t="s">
        <v>1041</v>
      </c>
      <c r="D190" s="45" t="s">
        <v>666</v>
      </c>
      <c r="E190" s="29" t="s">
        <v>907</v>
      </c>
      <c r="F190" s="47" t="s">
        <v>137</v>
      </c>
      <c r="G190" s="42"/>
      <c r="H190" s="42">
        <v>1</v>
      </c>
      <c r="I190" s="44">
        <v>45.1</v>
      </c>
      <c r="J190" s="44">
        <f aca="true" t="shared" si="70" ref="J190:J198">+I190+(H190*100)+(G190*400)</f>
        <v>145.1</v>
      </c>
      <c r="K190" s="42">
        <v>25000</v>
      </c>
      <c r="L190" s="42">
        <f t="shared" si="29"/>
        <v>3627500</v>
      </c>
      <c r="M190" s="42"/>
      <c r="N190" s="42" t="s">
        <v>64</v>
      </c>
      <c r="O190" s="101" t="s">
        <v>446</v>
      </c>
      <c r="P190" s="45">
        <v>2</v>
      </c>
      <c r="Q190" s="100">
        <v>80</v>
      </c>
      <c r="R190" s="100"/>
      <c r="S190" s="42">
        <v>6550</v>
      </c>
      <c r="T190" s="12">
        <f aca="true" t="shared" si="71" ref="T190:T198">+Q190*S190</f>
        <v>524000</v>
      </c>
      <c r="U190" s="102" t="s">
        <v>74</v>
      </c>
      <c r="V190" s="12">
        <f>+T190*0.36</f>
        <v>188640</v>
      </c>
      <c r="W190" s="12">
        <f aca="true" t="shared" si="72" ref="W190:W198">+T190-V190</f>
        <v>335360</v>
      </c>
      <c r="X190" s="116"/>
      <c r="Y190" s="117">
        <f t="shared" si="67"/>
        <v>3962860</v>
      </c>
      <c r="Z190" s="12">
        <f>+Y190</f>
        <v>3962860</v>
      </c>
      <c r="AA190" s="12">
        <f t="shared" si="68"/>
        <v>0</v>
      </c>
      <c r="AB190" s="12"/>
      <c r="AC190" s="12">
        <f t="shared" si="69"/>
        <v>0</v>
      </c>
      <c r="AD190" s="42" t="s">
        <v>906</v>
      </c>
      <c r="AE190" s="12"/>
    </row>
    <row r="191" spans="1:31" s="46" customFormat="1" ht="21">
      <c r="A191" s="42" t="s">
        <v>0</v>
      </c>
      <c r="B191" s="42" t="s">
        <v>1</v>
      </c>
      <c r="C191" s="45" t="s">
        <v>1042</v>
      </c>
      <c r="D191" s="51" t="s">
        <v>667</v>
      </c>
      <c r="E191" s="29" t="s">
        <v>907</v>
      </c>
      <c r="F191" s="47" t="s">
        <v>167</v>
      </c>
      <c r="G191" s="42">
        <v>1</v>
      </c>
      <c r="H191" s="42"/>
      <c r="I191" s="44">
        <v>75.8</v>
      </c>
      <c r="J191" s="44">
        <f t="shared" si="70"/>
        <v>475.8</v>
      </c>
      <c r="K191" s="42">
        <v>21500</v>
      </c>
      <c r="L191" s="42">
        <f t="shared" si="29"/>
        <v>10229700</v>
      </c>
      <c r="M191" s="42">
        <v>1</v>
      </c>
      <c r="N191" s="42" t="s">
        <v>1758</v>
      </c>
      <c r="O191" s="101" t="s">
        <v>446</v>
      </c>
      <c r="P191" s="45">
        <v>2</v>
      </c>
      <c r="Q191" s="100">
        <f>32.2*17</f>
        <v>547.4000000000001</v>
      </c>
      <c r="R191" s="100">
        <v>67.98</v>
      </c>
      <c r="S191" s="42">
        <v>7550</v>
      </c>
      <c r="T191" s="12">
        <f t="shared" si="71"/>
        <v>4132870.0000000005</v>
      </c>
      <c r="U191" s="102" t="s">
        <v>74</v>
      </c>
      <c r="V191" s="12">
        <f>+T191*0.36</f>
        <v>1487833.2000000002</v>
      </c>
      <c r="W191" s="12">
        <f t="shared" si="72"/>
        <v>2645036.8000000003</v>
      </c>
      <c r="X191" s="116"/>
      <c r="Y191" s="117">
        <f>+L191*(R191/100)+W191</f>
        <v>9599186.860000001</v>
      </c>
      <c r="Z191" s="12"/>
      <c r="AA191" s="12">
        <f t="shared" si="68"/>
        <v>9599186.860000001</v>
      </c>
      <c r="AB191" s="12">
        <v>0.02</v>
      </c>
      <c r="AC191" s="12">
        <f t="shared" si="69"/>
        <v>1919.8373720000004</v>
      </c>
      <c r="AD191" s="42"/>
      <c r="AE191" s="12"/>
    </row>
    <row r="192" spans="1:31" s="46" customFormat="1" ht="21">
      <c r="A192" s="42" t="s">
        <v>0</v>
      </c>
      <c r="B192" s="42"/>
      <c r="C192" s="45"/>
      <c r="D192" s="45"/>
      <c r="E192" s="45"/>
      <c r="F192" s="47"/>
      <c r="G192" s="42"/>
      <c r="H192" s="42"/>
      <c r="I192" s="44"/>
      <c r="J192" s="44">
        <f>+I192+(H192*100)+(G192*400)</f>
        <v>0</v>
      </c>
      <c r="K192" s="42"/>
      <c r="L192" s="42">
        <f>+K192*J192</f>
        <v>0</v>
      </c>
      <c r="M192" s="42">
        <v>2</v>
      </c>
      <c r="N192" s="42" t="s">
        <v>60</v>
      </c>
      <c r="O192" s="101" t="s">
        <v>446</v>
      </c>
      <c r="P192" s="45">
        <v>3</v>
      </c>
      <c r="Q192" s="100">
        <v>114</v>
      </c>
      <c r="R192" s="100">
        <v>14.15</v>
      </c>
      <c r="S192" s="42">
        <v>7550</v>
      </c>
      <c r="T192" s="12">
        <f>+Q192*S192</f>
        <v>860700</v>
      </c>
      <c r="U192" s="102" t="s">
        <v>74</v>
      </c>
      <c r="V192" s="12">
        <f>+T192*0.36</f>
        <v>309852</v>
      </c>
      <c r="W192" s="12">
        <f>+T192-V192</f>
        <v>550848</v>
      </c>
      <c r="X192" s="116"/>
      <c r="Y192" s="117">
        <f>+L191*(R192/100)+W192</f>
        <v>1998350.55</v>
      </c>
      <c r="Z192" s="12"/>
      <c r="AA192" s="12">
        <f>+Y192-Z192</f>
        <v>1998350.55</v>
      </c>
      <c r="AB192" s="12">
        <v>0.3</v>
      </c>
      <c r="AC192" s="12">
        <f>+AA192*AB192/100</f>
        <v>5995.05165</v>
      </c>
      <c r="AD192" s="42"/>
      <c r="AE192" s="12"/>
    </row>
    <row r="193" spans="1:31" s="46" customFormat="1" ht="21">
      <c r="A193" s="42" t="s">
        <v>0</v>
      </c>
      <c r="B193" s="42"/>
      <c r="C193" s="45"/>
      <c r="D193" s="45"/>
      <c r="E193" s="45"/>
      <c r="F193" s="47"/>
      <c r="G193" s="42"/>
      <c r="H193" s="42"/>
      <c r="I193" s="44"/>
      <c r="J193" s="44">
        <f t="shared" si="70"/>
        <v>0</v>
      </c>
      <c r="K193" s="42"/>
      <c r="L193" s="42">
        <f t="shared" si="29"/>
        <v>0</v>
      </c>
      <c r="M193" s="42">
        <v>3</v>
      </c>
      <c r="N193" s="42" t="s">
        <v>60</v>
      </c>
      <c r="O193" s="101" t="s">
        <v>446</v>
      </c>
      <c r="P193" s="45">
        <v>3</v>
      </c>
      <c r="Q193" s="100">
        <v>144</v>
      </c>
      <c r="R193" s="100">
        <v>17.87</v>
      </c>
      <c r="S193" s="42">
        <v>7550</v>
      </c>
      <c r="T193" s="12">
        <f t="shared" si="71"/>
        <v>1087200</v>
      </c>
      <c r="U193" s="102" t="s">
        <v>84</v>
      </c>
      <c r="V193" s="12">
        <f>+T193*0.2</f>
        <v>217440</v>
      </c>
      <c r="W193" s="12">
        <f t="shared" si="72"/>
        <v>869760</v>
      </c>
      <c r="X193" s="116"/>
      <c r="Y193" s="117">
        <f>+L191*(R193/100)+W193</f>
        <v>2697807.3899999997</v>
      </c>
      <c r="Z193" s="12"/>
      <c r="AA193" s="12">
        <f t="shared" si="68"/>
        <v>2697807.3899999997</v>
      </c>
      <c r="AB193" s="12">
        <v>0.3</v>
      </c>
      <c r="AC193" s="12">
        <f t="shared" si="69"/>
        <v>8093.422169999998</v>
      </c>
      <c r="AD193" s="42"/>
      <c r="AE193" s="12"/>
    </row>
    <row r="194" spans="1:31" s="46" customFormat="1" ht="21">
      <c r="A194" s="42" t="s">
        <v>0</v>
      </c>
      <c r="B194" s="42" t="s">
        <v>1</v>
      </c>
      <c r="C194" s="45" t="s">
        <v>1043</v>
      </c>
      <c r="D194" s="45" t="s">
        <v>669</v>
      </c>
      <c r="E194" s="29" t="s">
        <v>907</v>
      </c>
      <c r="F194" s="47" t="s">
        <v>137</v>
      </c>
      <c r="G194" s="42"/>
      <c r="H194" s="42">
        <v>1</v>
      </c>
      <c r="I194" s="44"/>
      <c r="J194" s="44">
        <f t="shared" si="70"/>
        <v>100</v>
      </c>
      <c r="K194" s="42">
        <v>21500</v>
      </c>
      <c r="L194" s="42">
        <f>+K194*J194</f>
        <v>2150000</v>
      </c>
      <c r="M194" s="42"/>
      <c r="N194" s="42" t="s">
        <v>668</v>
      </c>
      <c r="O194" s="101" t="s">
        <v>446</v>
      </c>
      <c r="P194" s="45">
        <v>2</v>
      </c>
      <c r="Q194" s="100">
        <f>24*10</f>
        <v>240</v>
      </c>
      <c r="R194" s="100"/>
      <c r="S194" s="42">
        <v>7550</v>
      </c>
      <c r="T194" s="12">
        <f t="shared" si="71"/>
        <v>1812000</v>
      </c>
      <c r="U194" s="45" t="s">
        <v>314</v>
      </c>
      <c r="V194" s="12">
        <f>+T194*0.1</f>
        <v>181200</v>
      </c>
      <c r="W194" s="12">
        <f t="shared" si="72"/>
        <v>1630800</v>
      </c>
      <c r="X194" s="116"/>
      <c r="Y194" s="117">
        <f aca="true" t="shared" si="73" ref="Y194:Y200">+L194+W194</f>
        <v>3780800</v>
      </c>
      <c r="Z194" s="12"/>
      <c r="AA194" s="12">
        <f>+Y194-Z194</f>
        <v>3780800</v>
      </c>
      <c r="AB194" s="12">
        <v>0.02</v>
      </c>
      <c r="AC194" s="12">
        <f>+AA194*AB194/100</f>
        <v>756.16</v>
      </c>
      <c r="AD194" s="42"/>
      <c r="AE194" s="12"/>
    </row>
    <row r="195" spans="1:31" s="46" customFormat="1" ht="21">
      <c r="A195" s="42" t="s">
        <v>0</v>
      </c>
      <c r="B195" s="42" t="s">
        <v>1</v>
      </c>
      <c r="C195" s="45" t="s">
        <v>1044</v>
      </c>
      <c r="D195" s="51" t="s">
        <v>670</v>
      </c>
      <c r="E195" s="29" t="s">
        <v>907</v>
      </c>
      <c r="F195" s="47" t="s">
        <v>137</v>
      </c>
      <c r="G195" s="42"/>
      <c r="H195" s="42"/>
      <c r="I195" s="44">
        <v>63.1</v>
      </c>
      <c r="J195" s="44">
        <f t="shared" si="70"/>
        <v>63.1</v>
      </c>
      <c r="K195" s="42">
        <v>20000</v>
      </c>
      <c r="L195" s="42">
        <f>+K195*J195</f>
        <v>1262000</v>
      </c>
      <c r="M195" s="42"/>
      <c r="N195" s="42" t="s">
        <v>64</v>
      </c>
      <c r="O195" s="101" t="s">
        <v>446</v>
      </c>
      <c r="P195" s="45">
        <v>2</v>
      </c>
      <c r="Q195" s="100">
        <v>160</v>
      </c>
      <c r="R195" s="100"/>
      <c r="S195" s="42">
        <v>6550</v>
      </c>
      <c r="T195" s="12">
        <f t="shared" si="71"/>
        <v>1048000</v>
      </c>
      <c r="U195" s="45" t="s">
        <v>264</v>
      </c>
      <c r="V195" s="12">
        <f>+T195*0.09</f>
        <v>94320</v>
      </c>
      <c r="W195" s="12">
        <f t="shared" si="72"/>
        <v>953680</v>
      </c>
      <c r="X195" s="116"/>
      <c r="Y195" s="117">
        <f t="shared" si="73"/>
        <v>2215680</v>
      </c>
      <c r="Z195" s="12"/>
      <c r="AA195" s="12">
        <f>+Y195-Z195</f>
        <v>2215680</v>
      </c>
      <c r="AB195" s="12">
        <v>0.02</v>
      </c>
      <c r="AC195" s="12">
        <f>+AA195*AB195/100</f>
        <v>443.13599999999997</v>
      </c>
      <c r="AD195" s="42"/>
      <c r="AE195" s="12"/>
    </row>
    <row r="196" spans="1:31" s="46" customFormat="1" ht="21">
      <c r="A196" s="42"/>
      <c r="B196" s="42"/>
      <c r="C196" s="45"/>
      <c r="D196" s="45"/>
      <c r="E196" s="45"/>
      <c r="F196" s="47"/>
      <c r="G196" s="42"/>
      <c r="H196" s="42"/>
      <c r="I196" s="44"/>
      <c r="J196" s="44">
        <f t="shared" si="70"/>
        <v>0</v>
      </c>
      <c r="K196" s="42"/>
      <c r="L196" s="42">
        <f>+K196*J196</f>
        <v>0</v>
      </c>
      <c r="M196" s="42"/>
      <c r="N196" s="42"/>
      <c r="O196" s="42"/>
      <c r="P196" s="31"/>
      <c r="Q196" s="42"/>
      <c r="R196" s="42"/>
      <c r="S196" s="42"/>
      <c r="T196" s="12">
        <f t="shared" si="71"/>
        <v>0</v>
      </c>
      <c r="U196" s="45"/>
      <c r="V196" s="12">
        <f>+T196*0</f>
        <v>0</v>
      </c>
      <c r="W196" s="12">
        <f t="shared" si="72"/>
        <v>0</v>
      </c>
      <c r="X196" s="116"/>
      <c r="Y196" s="117">
        <f t="shared" si="73"/>
        <v>0</v>
      </c>
      <c r="Z196" s="12"/>
      <c r="AA196" s="12">
        <f>+Y196-Z196</f>
        <v>0</v>
      </c>
      <c r="AB196" s="12"/>
      <c r="AC196" s="12">
        <f>+AA196*AB196/100</f>
        <v>0</v>
      </c>
      <c r="AD196" s="42"/>
      <c r="AE196" s="12"/>
    </row>
    <row r="197" spans="1:31" s="46" customFormat="1" ht="21">
      <c r="A197" s="42"/>
      <c r="B197" s="42"/>
      <c r="C197" s="45"/>
      <c r="D197" s="45"/>
      <c r="E197" s="45"/>
      <c r="F197" s="47"/>
      <c r="G197" s="42"/>
      <c r="H197" s="42"/>
      <c r="I197" s="44"/>
      <c r="J197" s="44">
        <f t="shared" si="70"/>
        <v>0</v>
      </c>
      <c r="K197" s="42"/>
      <c r="L197" s="42">
        <f>+K197*J197</f>
        <v>0</v>
      </c>
      <c r="M197" s="42"/>
      <c r="N197" s="42"/>
      <c r="O197" s="100"/>
      <c r="P197" s="31"/>
      <c r="Q197" s="100"/>
      <c r="R197" s="100"/>
      <c r="S197" s="42"/>
      <c r="T197" s="12">
        <f t="shared" si="71"/>
        <v>0</v>
      </c>
      <c r="U197" s="45"/>
      <c r="V197" s="12">
        <f>+T197*0</f>
        <v>0</v>
      </c>
      <c r="W197" s="12">
        <f t="shared" si="72"/>
        <v>0</v>
      </c>
      <c r="X197" s="116"/>
      <c r="Y197" s="117">
        <f t="shared" si="73"/>
        <v>0</v>
      </c>
      <c r="Z197" s="12"/>
      <c r="AA197" s="12">
        <f>+Y197-Z197</f>
        <v>0</v>
      </c>
      <c r="AB197" s="12"/>
      <c r="AC197" s="12">
        <f>+AA197*AB197/100</f>
        <v>0</v>
      </c>
      <c r="AD197" s="42"/>
      <c r="AE197" s="12"/>
    </row>
    <row r="198" spans="1:31" s="46" customFormat="1" ht="21">
      <c r="A198" s="42"/>
      <c r="B198" s="42"/>
      <c r="C198" s="45"/>
      <c r="D198" s="45"/>
      <c r="E198" s="45"/>
      <c r="F198" s="47"/>
      <c r="G198" s="42"/>
      <c r="H198" s="42"/>
      <c r="I198" s="44"/>
      <c r="J198" s="44">
        <f t="shared" si="70"/>
        <v>0</v>
      </c>
      <c r="K198" s="42"/>
      <c r="L198" s="42">
        <f>+K198*J198</f>
        <v>0</v>
      </c>
      <c r="M198" s="42"/>
      <c r="N198" s="42"/>
      <c r="O198" s="42"/>
      <c r="P198" s="31"/>
      <c r="Q198" s="42"/>
      <c r="R198" s="42"/>
      <c r="S198" s="42"/>
      <c r="T198" s="12">
        <f t="shared" si="71"/>
        <v>0</v>
      </c>
      <c r="U198" s="45"/>
      <c r="V198" s="12">
        <f>+T198*0</f>
        <v>0</v>
      </c>
      <c r="W198" s="12">
        <f t="shared" si="72"/>
        <v>0</v>
      </c>
      <c r="X198" s="116"/>
      <c r="Y198" s="117">
        <f t="shared" si="73"/>
        <v>0</v>
      </c>
      <c r="Z198" s="12"/>
      <c r="AA198" s="12">
        <f>+Y198-Z198</f>
        <v>0</v>
      </c>
      <c r="AB198" s="12"/>
      <c r="AC198" s="12">
        <f>+AA198*AB198/100</f>
        <v>0</v>
      </c>
      <c r="AD198" s="42"/>
      <c r="AE198" s="12"/>
    </row>
    <row r="199" spans="1:31" s="46" customFormat="1" ht="21">
      <c r="A199" s="42" t="s">
        <v>0</v>
      </c>
      <c r="B199" s="42" t="s">
        <v>1</v>
      </c>
      <c r="C199" s="45" t="s">
        <v>1045</v>
      </c>
      <c r="D199" s="45" t="s">
        <v>673</v>
      </c>
      <c r="E199" s="30" t="s">
        <v>908</v>
      </c>
      <c r="F199" s="47" t="s">
        <v>137</v>
      </c>
      <c r="G199" s="42"/>
      <c r="H199" s="42"/>
      <c r="I199" s="44">
        <v>19.7</v>
      </c>
      <c r="J199" s="44">
        <f aca="true" t="shared" si="74" ref="J199:J214">+I199+(H199*100)+(G199*400)</f>
        <v>19.7</v>
      </c>
      <c r="K199" s="42">
        <v>15000</v>
      </c>
      <c r="L199" s="42">
        <f t="shared" si="29"/>
        <v>295500</v>
      </c>
      <c r="M199" s="42"/>
      <c r="N199" s="42" t="s">
        <v>60</v>
      </c>
      <c r="O199" s="101" t="s">
        <v>446</v>
      </c>
      <c r="P199" s="45">
        <v>2</v>
      </c>
      <c r="Q199" s="100">
        <v>60</v>
      </c>
      <c r="R199" s="100"/>
      <c r="S199" s="42">
        <v>7550</v>
      </c>
      <c r="T199" s="12">
        <f aca="true" t="shared" si="75" ref="T199:T214">+Q199*S199</f>
        <v>453000</v>
      </c>
      <c r="U199" s="102" t="s">
        <v>74</v>
      </c>
      <c r="V199" s="12">
        <f>+T199*0.36</f>
        <v>163080</v>
      </c>
      <c r="W199" s="12">
        <f aca="true" t="shared" si="76" ref="W199:W214">+T199-V199</f>
        <v>289920</v>
      </c>
      <c r="X199" s="116"/>
      <c r="Y199" s="117">
        <f t="shared" si="73"/>
        <v>585420</v>
      </c>
      <c r="Z199" s="12"/>
      <c r="AA199" s="12">
        <f t="shared" si="68"/>
        <v>585420</v>
      </c>
      <c r="AB199" s="12">
        <v>0.02</v>
      </c>
      <c r="AC199" s="12">
        <f t="shared" si="69"/>
        <v>117.084</v>
      </c>
      <c r="AD199" s="42"/>
      <c r="AE199" s="12"/>
    </row>
    <row r="200" spans="1:31" s="46" customFormat="1" ht="21">
      <c r="A200" s="42"/>
      <c r="B200" s="42"/>
      <c r="C200" s="45"/>
      <c r="D200" s="45"/>
      <c r="E200" s="45"/>
      <c r="F200" s="47"/>
      <c r="G200" s="42"/>
      <c r="H200" s="42"/>
      <c r="I200" s="44"/>
      <c r="J200" s="44">
        <f t="shared" si="74"/>
        <v>0</v>
      </c>
      <c r="K200" s="42"/>
      <c r="L200" s="42">
        <f t="shared" si="29"/>
        <v>0</v>
      </c>
      <c r="M200" s="42"/>
      <c r="N200" s="42"/>
      <c r="O200" s="42"/>
      <c r="P200" s="31"/>
      <c r="Q200" s="42"/>
      <c r="R200" s="42"/>
      <c r="S200" s="42"/>
      <c r="T200" s="12">
        <f t="shared" si="75"/>
        <v>0</v>
      </c>
      <c r="U200" s="45"/>
      <c r="V200" s="12">
        <f>+T200*0</f>
        <v>0</v>
      </c>
      <c r="W200" s="12">
        <f t="shared" si="76"/>
        <v>0</v>
      </c>
      <c r="X200" s="116"/>
      <c r="Y200" s="117">
        <f t="shared" si="73"/>
        <v>0</v>
      </c>
      <c r="Z200" s="12"/>
      <c r="AA200" s="12">
        <f t="shared" si="68"/>
        <v>0</v>
      </c>
      <c r="AB200" s="12"/>
      <c r="AC200" s="12">
        <f t="shared" si="69"/>
        <v>0</v>
      </c>
      <c r="AD200" s="42"/>
      <c r="AE200" s="12"/>
    </row>
    <row r="201" spans="1:31" s="46" customFormat="1" ht="21">
      <c r="A201" s="42" t="s">
        <v>0</v>
      </c>
      <c r="B201" s="42" t="s">
        <v>1</v>
      </c>
      <c r="C201" s="45" t="s">
        <v>1046</v>
      </c>
      <c r="D201" s="45" t="s">
        <v>674</v>
      </c>
      <c r="E201" s="29" t="s">
        <v>907</v>
      </c>
      <c r="F201" s="47" t="s">
        <v>167</v>
      </c>
      <c r="G201" s="42"/>
      <c r="H201" s="42">
        <v>3</v>
      </c>
      <c r="I201" s="44">
        <v>71.2</v>
      </c>
      <c r="J201" s="44">
        <f t="shared" si="74"/>
        <v>371.2</v>
      </c>
      <c r="K201" s="42">
        <v>6500</v>
      </c>
      <c r="L201" s="42">
        <f t="shared" si="29"/>
        <v>2412800</v>
      </c>
      <c r="M201" s="42">
        <v>1</v>
      </c>
      <c r="N201" s="42" t="s">
        <v>64</v>
      </c>
      <c r="O201" s="101" t="s">
        <v>446</v>
      </c>
      <c r="P201" s="45">
        <v>2</v>
      </c>
      <c r="Q201" s="100">
        <v>48</v>
      </c>
      <c r="R201" s="100">
        <v>42.86</v>
      </c>
      <c r="S201" s="42">
        <v>6550</v>
      </c>
      <c r="T201" s="12">
        <f t="shared" si="75"/>
        <v>314400</v>
      </c>
      <c r="U201" s="102" t="s">
        <v>74</v>
      </c>
      <c r="V201" s="12">
        <f>+T201*0.36</f>
        <v>113184</v>
      </c>
      <c r="W201" s="12">
        <f t="shared" si="76"/>
        <v>201216</v>
      </c>
      <c r="X201" s="116"/>
      <c r="Y201" s="117">
        <f>+L201*(R201/100)+W201</f>
        <v>1235342.08</v>
      </c>
      <c r="Z201" s="12"/>
      <c r="AA201" s="12">
        <f t="shared" si="68"/>
        <v>1235342.08</v>
      </c>
      <c r="AB201" s="12">
        <v>0.02</v>
      </c>
      <c r="AC201" s="12">
        <f t="shared" si="69"/>
        <v>247.06841600000004</v>
      </c>
      <c r="AD201" s="42"/>
      <c r="AE201" s="12"/>
    </row>
    <row r="202" spans="1:31" s="46" customFormat="1" ht="21">
      <c r="A202" s="42" t="s">
        <v>0</v>
      </c>
      <c r="B202" s="42"/>
      <c r="C202" s="45"/>
      <c r="D202" s="45"/>
      <c r="E202" s="45"/>
      <c r="F202" s="47"/>
      <c r="G202" s="42"/>
      <c r="H202" s="42"/>
      <c r="I202" s="44"/>
      <c r="J202" s="44">
        <f t="shared" si="74"/>
        <v>0</v>
      </c>
      <c r="K202" s="42"/>
      <c r="L202" s="42">
        <f t="shared" si="29"/>
        <v>0</v>
      </c>
      <c r="M202" s="42">
        <v>2</v>
      </c>
      <c r="N202" s="42" t="s">
        <v>112</v>
      </c>
      <c r="O202" s="104" t="s">
        <v>446</v>
      </c>
      <c r="P202" s="45">
        <v>3</v>
      </c>
      <c r="Q202" s="104">
        <v>64</v>
      </c>
      <c r="R202" s="100">
        <v>57.14</v>
      </c>
      <c r="S202" s="42">
        <v>3500</v>
      </c>
      <c r="T202" s="12">
        <f t="shared" si="75"/>
        <v>224000</v>
      </c>
      <c r="U202" s="45" t="s">
        <v>1751</v>
      </c>
      <c r="V202" s="12">
        <f>+T202*0.12</f>
        <v>26880</v>
      </c>
      <c r="W202" s="12">
        <f t="shared" si="76"/>
        <v>197120</v>
      </c>
      <c r="X202" s="116"/>
      <c r="Y202" s="117">
        <f>+L201*(R202/100)+W202</f>
        <v>1575793.9200000002</v>
      </c>
      <c r="Z202" s="12"/>
      <c r="AA202" s="12">
        <f t="shared" si="68"/>
        <v>1575793.9200000002</v>
      </c>
      <c r="AB202" s="12">
        <v>0.3</v>
      </c>
      <c r="AC202" s="12">
        <f t="shared" si="69"/>
        <v>4727.38176</v>
      </c>
      <c r="AD202" s="42"/>
      <c r="AE202" s="12"/>
    </row>
    <row r="203" spans="1:31" s="46" customFormat="1" ht="21">
      <c r="A203" s="42"/>
      <c r="B203" s="42"/>
      <c r="C203" s="45"/>
      <c r="D203" s="45"/>
      <c r="E203" s="45"/>
      <c r="F203" s="47"/>
      <c r="G203" s="42"/>
      <c r="H203" s="42"/>
      <c r="I203" s="44"/>
      <c r="J203" s="44">
        <f t="shared" si="74"/>
        <v>0</v>
      </c>
      <c r="K203" s="42"/>
      <c r="L203" s="42">
        <f t="shared" si="29"/>
        <v>0</v>
      </c>
      <c r="M203" s="42"/>
      <c r="N203" s="42"/>
      <c r="O203" s="42"/>
      <c r="P203" s="31"/>
      <c r="Q203" s="42"/>
      <c r="R203" s="42"/>
      <c r="S203" s="42"/>
      <c r="T203" s="12">
        <f t="shared" si="75"/>
        <v>0</v>
      </c>
      <c r="U203" s="45"/>
      <c r="V203" s="12">
        <f>+T203*0</f>
        <v>0</v>
      </c>
      <c r="W203" s="12">
        <f t="shared" si="76"/>
        <v>0</v>
      </c>
      <c r="X203" s="116"/>
      <c r="Y203" s="117">
        <f aca="true" t="shared" si="77" ref="Y203:Y211">+L203+W203</f>
        <v>0</v>
      </c>
      <c r="Z203" s="12"/>
      <c r="AA203" s="12">
        <f t="shared" si="68"/>
        <v>0</v>
      </c>
      <c r="AB203" s="12"/>
      <c r="AC203" s="12">
        <f t="shared" si="69"/>
        <v>0</v>
      </c>
      <c r="AD203" s="42"/>
      <c r="AE203" s="12"/>
    </row>
    <row r="204" spans="1:31" s="46" customFormat="1" ht="21">
      <c r="A204" s="42" t="s">
        <v>0</v>
      </c>
      <c r="B204" s="42" t="s">
        <v>1</v>
      </c>
      <c r="C204" s="45" t="s">
        <v>1047</v>
      </c>
      <c r="D204" s="45" t="s">
        <v>675</v>
      </c>
      <c r="E204" s="30" t="s">
        <v>908</v>
      </c>
      <c r="F204" s="47" t="s">
        <v>143</v>
      </c>
      <c r="G204" s="42"/>
      <c r="H204" s="42"/>
      <c r="I204" s="44">
        <v>17.7</v>
      </c>
      <c r="J204" s="44">
        <f t="shared" si="74"/>
        <v>17.7</v>
      </c>
      <c r="K204" s="42">
        <v>40000</v>
      </c>
      <c r="L204" s="42">
        <f t="shared" si="29"/>
        <v>708000</v>
      </c>
      <c r="M204" s="42">
        <v>1</v>
      </c>
      <c r="N204" s="42" t="s">
        <v>60</v>
      </c>
      <c r="O204" s="101" t="s">
        <v>446</v>
      </c>
      <c r="P204" s="45">
        <v>3</v>
      </c>
      <c r="Q204" s="100">
        <v>141.6</v>
      </c>
      <c r="R204" s="100">
        <v>52.52</v>
      </c>
      <c r="S204" s="42">
        <v>7550</v>
      </c>
      <c r="T204" s="12">
        <f t="shared" si="75"/>
        <v>1069080</v>
      </c>
      <c r="U204" s="102" t="s">
        <v>74</v>
      </c>
      <c r="V204" s="12">
        <f>+T204*0.36</f>
        <v>384868.8</v>
      </c>
      <c r="W204" s="12">
        <f t="shared" si="76"/>
        <v>684211.2</v>
      </c>
      <c r="X204" s="116"/>
      <c r="Y204" s="117">
        <f>+L204*(R204/100)+W204</f>
        <v>1056052.7999999998</v>
      </c>
      <c r="Z204" s="12"/>
      <c r="AA204" s="12">
        <f t="shared" si="68"/>
        <v>1056052.7999999998</v>
      </c>
      <c r="AB204" s="12">
        <v>0.3</v>
      </c>
      <c r="AC204" s="12">
        <f t="shared" si="69"/>
        <v>3168.158399999999</v>
      </c>
      <c r="AD204" s="42"/>
      <c r="AE204" s="12"/>
    </row>
    <row r="205" spans="1:31" s="46" customFormat="1" ht="21">
      <c r="A205" s="42" t="s">
        <v>0</v>
      </c>
      <c r="B205" s="42"/>
      <c r="C205" s="45"/>
      <c r="D205" s="45"/>
      <c r="E205" s="45"/>
      <c r="F205" s="47"/>
      <c r="G205" s="42"/>
      <c r="H205" s="42"/>
      <c r="I205" s="44"/>
      <c r="J205" s="44">
        <f t="shared" si="74"/>
        <v>0</v>
      </c>
      <c r="K205" s="42"/>
      <c r="L205" s="42">
        <f t="shared" si="29"/>
        <v>0</v>
      </c>
      <c r="M205" s="42">
        <v>2</v>
      </c>
      <c r="N205" s="42" t="s">
        <v>112</v>
      </c>
      <c r="O205" s="101" t="s">
        <v>454</v>
      </c>
      <c r="P205" s="45">
        <v>3</v>
      </c>
      <c r="Q205" s="100">
        <v>128</v>
      </c>
      <c r="R205" s="100">
        <v>47.48</v>
      </c>
      <c r="S205" s="42">
        <v>3500</v>
      </c>
      <c r="T205" s="12">
        <f t="shared" si="75"/>
        <v>448000</v>
      </c>
      <c r="U205" s="102" t="s">
        <v>459</v>
      </c>
      <c r="V205" s="12">
        <f>+T205*0.93</f>
        <v>416640</v>
      </c>
      <c r="W205" s="12">
        <f t="shared" si="76"/>
        <v>31360</v>
      </c>
      <c r="X205" s="116"/>
      <c r="Y205" s="117">
        <f>+L204*(R205/100)+W205</f>
        <v>367518.39999999997</v>
      </c>
      <c r="Z205" s="12"/>
      <c r="AA205" s="12">
        <f t="shared" si="68"/>
        <v>367518.39999999997</v>
      </c>
      <c r="AB205" s="12">
        <v>0.3</v>
      </c>
      <c r="AC205" s="12">
        <f t="shared" si="69"/>
        <v>1102.5551999999998</v>
      </c>
      <c r="AD205" s="42"/>
      <c r="AE205" s="12"/>
    </row>
    <row r="206" spans="1:31" s="46" customFormat="1" ht="21">
      <c r="A206" s="42"/>
      <c r="B206" s="42"/>
      <c r="C206" s="45"/>
      <c r="D206" s="45"/>
      <c r="E206" s="45"/>
      <c r="F206" s="47"/>
      <c r="G206" s="42"/>
      <c r="H206" s="42"/>
      <c r="I206" s="44"/>
      <c r="J206" s="44">
        <f t="shared" si="74"/>
        <v>0</v>
      </c>
      <c r="K206" s="42"/>
      <c r="L206" s="42">
        <f t="shared" si="29"/>
        <v>0</v>
      </c>
      <c r="M206" s="42"/>
      <c r="N206" s="42"/>
      <c r="O206" s="42"/>
      <c r="P206" s="31"/>
      <c r="Q206" s="42"/>
      <c r="R206" s="42"/>
      <c r="S206" s="42"/>
      <c r="T206" s="12">
        <f t="shared" si="75"/>
        <v>0</v>
      </c>
      <c r="U206" s="45"/>
      <c r="V206" s="12">
        <f>+T206*0</f>
        <v>0</v>
      </c>
      <c r="W206" s="12">
        <f t="shared" si="76"/>
        <v>0</v>
      </c>
      <c r="X206" s="116"/>
      <c r="Y206" s="117">
        <f t="shared" si="77"/>
        <v>0</v>
      </c>
      <c r="Z206" s="12"/>
      <c r="AA206" s="12">
        <f t="shared" si="68"/>
        <v>0</v>
      </c>
      <c r="AB206" s="12"/>
      <c r="AC206" s="12">
        <f t="shared" si="69"/>
        <v>0</v>
      </c>
      <c r="AD206" s="42"/>
      <c r="AE206" s="12"/>
    </row>
    <row r="207" spans="1:31" s="46" customFormat="1" ht="21">
      <c r="A207" s="42" t="s">
        <v>0</v>
      </c>
      <c r="B207" s="42" t="s">
        <v>1</v>
      </c>
      <c r="C207" s="45" t="s">
        <v>1048</v>
      </c>
      <c r="D207" s="45" t="s">
        <v>676</v>
      </c>
      <c r="E207" s="30" t="s">
        <v>908</v>
      </c>
      <c r="F207" s="47" t="s">
        <v>167</v>
      </c>
      <c r="G207" s="42"/>
      <c r="H207" s="42"/>
      <c r="I207" s="44">
        <v>18.2</v>
      </c>
      <c r="J207" s="44">
        <f t="shared" si="74"/>
        <v>18.2</v>
      </c>
      <c r="K207" s="42">
        <v>60000</v>
      </c>
      <c r="L207" s="42">
        <f t="shared" si="29"/>
        <v>1092000</v>
      </c>
      <c r="M207" s="42">
        <v>1</v>
      </c>
      <c r="N207" s="42" t="s">
        <v>60</v>
      </c>
      <c r="O207" s="101" t="s">
        <v>446</v>
      </c>
      <c r="P207" s="45">
        <v>3</v>
      </c>
      <c r="Q207" s="100">
        <v>64</v>
      </c>
      <c r="R207" s="100">
        <f>+Q207*100/(Q207+Q208)</f>
        <v>50</v>
      </c>
      <c r="S207" s="42">
        <v>7550</v>
      </c>
      <c r="T207" s="12">
        <f t="shared" si="75"/>
        <v>483200</v>
      </c>
      <c r="U207" s="102" t="s">
        <v>74</v>
      </c>
      <c r="V207" s="12">
        <f>+T207*0.36</f>
        <v>173952</v>
      </c>
      <c r="W207" s="12">
        <f t="shared" si="76"/>
        <v>309248</v>
      </c>
      <c r="X207" s="116"/>
      <c r="Y207" s="117">
        <f>+L207*(R207/100)+W207</f>
        <v>855248</v>
      </c>
      <c r="Z207" s="12"/>
      <c r="AA207" s="12">
        <f t="shared" si="68"/>
        <v>855248</v>
      </c>
      <c r="AB207" s="12">
        <v>0.3</v>
      </c>
      <c r="AC207" s="12">
        <f t="shared" si="69"/>
        <v>2565.744</v>
      </c>
      <c r="AD207" s="42"/>
      <c r="AE207" s="12"/>
    </row>
    <row r="208" spans="1:31" s="46" customFormat="1" ht="21">
      <c r="A208" s="42" t="s">
        <v>0</v>
      </c>
      <c r="B208" s="42"/>
      <c r="C208" s="45"/>
      <c r="D208" s="45"/>
      <c r="E208" s="45"/>
      <c r="F208" s="47"/>
      <c r="G208" s="42"/>
      <c r="H208" s="42"/>
      <c r="I208" s="44"/>
      <c r="J208" s="44">
        <f t="shared" si="74"/>
        <v>0</v>
      </c>
      <c r="K208" s="42"/>
      <c r="L208" s="42">
        <f>+K208*J208</f>
        <v>0</v>
      </c>
      <c r="M208" s="42">
        <v>2</v>
      </c>
      <c r="N208" s="42" t="s">
        <v>60</v>
      </c>
      <c r="O208" s="101" t="s">
        <v>446</v>
      </c>
      <c r="P208" s="45">
        <v>2</v>
      </c>
      <c r="Q208" s="100">
        <v>64</v>
      </c>
      <c r="R208" s="100">
        <f>+Q208*100/(Q207+Q208)</f>
        <v>50</v>
      </c>
      <c r="S208" s="42">
        <v>7550</v>
      </c>
      <c r="T208" s="12">
        <f t="shared" si="75"/>
        <v>483200</v>
      </c>
      <c r="U208" s="102" t="s">
        <v>74</v>
      </c>
      <c r="V208" s="12">
        <f>+T208*0.36</f>
        <v>173952</v>
      </c>
      <c r="W208" s="12">
        <f t="shared" si="76"/>
        <v>309248</v>
      </c>
      <c r="X208" s="116"/>
      <c r="Y208" s="117">
        <f>+L207*(R208/100)+W208</f>
        <v>855248</v>
      </c>
      <c r="Z208" s="12"/>
      <c r="AA208" s="12">
        <f>+Y208-Z208</f>
        <v>855248</v>
      </c>
      <c r="AB208" s="12">
        <v>0.02</v>
      </c>
      <c r="AC208" s="12">
        <f>+AA208*AB208/100</f>
        <v>171.0496</v>
      </c>
      <c r="AD208" s="42"/>
      <c r="AE208" s="12"/>
    </row>
    <row r="209" spans="1:31" s="46" customFormat="1" ht="21">
      <c r="A209" s="42" t="s">
        <v>0</v>
      </c>
      <c r="B209" s="42" t="s">
        <v>1</v>
      </c>
      <c r="C209" s="45" t="s">
        <v>1049</v>
      </c>
      <c r="D209" s="51" t="s">
        <v>677</v>
      </c>
      <c r="E209" s="10" t="s">
        <v>909</v>
      </c>
      <c r="F209" s="47" t="s">
        <v>140</v>
      </c>
      <c r="G209" s="42">
        <v>3</v>
      </c>
      <c r="H209" s="42">
        <v>2</v>
      </c>
      <c r="I209" s="44">
        <v>6</v>
      </c>
      <c r="J209" s="44">
        <f t="shared" si="74"/>
        <v>1406</v>
      </c>
      <c r="K209" s="42">
        <v>3750</v>
      </c>
      <c r="L209" s="42">
        <f t="shared" si="29"/>
        <v>5272500</v>
      </c>
      <c r="M209" s="42"/>
      <c r="N209" s="42"/>
      <c r="O209" s="100"/>
      <c r="P209" s="45"/>
      <c r="Q209" s="100"/>
      <c r="R209" s="100"/>
      <c r="S209" s="42"/>
      <c r="T209" s="12">
        <f t="shared" si="75"/>
        <v>0</v>
      </c>
      <c r="U209" s="45"/>
      <c r="V209" s="12">
        <f>+T209*0</f>
        <v>0</v>
      </c>
      <c r="W209" s="12">
        <f t="shared" si="76"/>
        <v>0</v>
      </c>
      <c r="X209" s="116"/>
      <c r="Y209" s="117">
        <f t="shared" si="77"/>
        <v>5272500</v>
      </c>
      <c r="Z209" s="12"/>
      <c r="AA209" s="12">
        <f t="shared" si="68"/>
        <v>5272500</v>
      </c>
      <c r="AB209" s="12">
        <v>0.3</v>
      </c>
      <c r="AC209" s="12">
        <f t="shared" si="69"/>
        <v>15817.5</v>
      </c>
      <c r="AD209" s="42"/>
      <c r="AE209" s="12"/>
    </row>
    <row r="210" spans="1:31" s="46" customFormat="1" ht="21">
      <c r="A210" s="42" t="s">
        <v>0</v>
      </c>
      <c r="B210" s="42" t="s">
        <v>1</v>
      </c>
      <c r="C210" s="45" t="s">
        <v>1050</v>
      </c>
      <c r="D210" s="45" t="s">
        <v>678</v>
      </c>
      <c r="E210" s="10" t="s">
        <v>909</v>
      </c>
      <c r="F210" s="47" t="s">
        <v>137</v>
      </c>
      <c r="G210" s="42"/>
      <c r="H210" s="42"/>
      <c r="I210" s="44">
        <v>56.4</v>
      </c>
      <c r="J210" s="44">
        <f t="shared" si="74"/>
        <v>56.4</v>
      </c>
      <c r="K210" s="42">
        <v>15000</v>
      </c>
      <c r="L210" s="42">
        <f t="shared" si="29"/>
        <v>846000</v>
      </c>
      <c r="M210" s="42"/>
      <c r="N210" s="42" t="s">
        <v>60</v>
      </c>
      <c r="O210" s="101" t="s">
        <v>446</v>
      </c>
      <c r="P210" s="45">
        <v>2</v>
      </c>
      <c r="Q210" s="100">
        <v>43.75</v>
      </c>
      <c r="R210" s="100"/>
      <c r="S210" s="42">
        <v>7550</v>
      </c>
      <c r="T210" s="12">
        <f t="shared" si="75"/>
        <v>330312.5</v>
      </c>
      <c r="U210" s="102" t="s">
        <v>82</v>
      </c>
      <c r="V210" s="12">
        <f>+T210*0.16</f>
        <v>52850</v>
      </c>
      <c r="W210" s="12">
        <f t="shared" si="76"/>
        <v>277462.5</v>
      </c>
      <c r="X210" s="116"/>
      <c r="Y210" s="117">
        <f t="shared" si="77"/>
        <v>1123462.5</v>
      </c>
      <c r="Z210" s="12"/>
      <c r="AA210" s="12">
        <f t="shared" si="68"/>
        <v>1123462.5</v>
      </c>
      <c r="AB210" s="12">
        <v>0.02</v>
      </c>
      <c r="AC210" s="12">
        <f t="shared" si="69"/>
        <v>224.6925</v>
      </c>
      <c r="AD210" s="42"/>
      <c r="AE210" s="12"/>
    </row>
    <row r="211" spans="1:31" s="46" customFormat="1" ht="21">
      <c r="A211" s="42" t="s">
        <v>0</v>
      </c>
      <c r="B211" s="42" t="s">
        <v>1</v>
      </c>
      <c r="C211" s="45" t="s">
        <v>1051</v>
      </c>
      <c r="D211" s="45" t="s">
        <v>679</v>
      </c>
      <c r="E211" s="29" t="s">
        <v>907</v>
      </c>
      <c r="F211" s="47" t="s">
        <v>140</v>
      </c>
      <c r="G211" s="42"/>
      <c r="H211" s="42"/>
      <c r="I211" s="44">
        <v>69.8</v>
      </c>
      <c r="J211" s="44">
        <f t="shared" si="74"/>
        <v>69.8</v>
      </c>
      <c r="K211" s="42">
        <v>37000</v>
      </c>
      <c r="L211" s="42">
        <f t="shared" si="29"/>
        <v>2582600</v>
      </c>
      <c r="M211" s="42"/>
      <c r="N211" s="42"/>
      <c r="O211" s="42"/>
      <c r="P211" s="45"/>
      <c r="Q211" s="42"/>
      <c r="R211" s="100"/>
      <c r="S211" s="42"/>
      <c r="T211" s="12">
        <f t="shared" si="75"/>
        <v>0</v>
      </c>
      <c r="U211" s="45"/>
      <c r="V211" s="12">
        <f>+T211*0</f>
        <v>0</v>
      </c>
      <c r="W211" s="12">
        <f t="shared" si="76"/>
        <v>0</v>
      </c>
      <c r="X211" s="116"/>
      <c r="Y211" s="117">
        <f t="shared" si="77"/>
        <v>2582600</v>
      </c>
      <c r="Z211" s="12"/>
      <c r="AA211" s="12">
        <f t="shared" si="68"/>
        <v>2582600</v>
      </c>
      <c r="AB211" s="12">
        <v>0.3</v>
      </c>
      <c r="AC211" s="12">
        <f t="shared" si="69"/>
        <v>7747.8</v>
      </c>
      <c r="AD211" s="42"/>
      <c r="AE211" s="12"/>
    </row>
    <row r="212" spans="1:31" s="46" customFormat="1" ht="21">
      <c r="A212" s="42" t="s">
        <v>0</v>
      </c>
      <c r="B212" s="42" t="s">
        <v>1</v>
      </c>
      <c r="C212" s="45" t="s">
        <v>1052</v>
      </c>
      <c r="D212" s="45" t="s">
        <v>680</v>
      </c>
      <c r="E212" s="30" t="s">
        <v>908</v>
      </c>
      <c r="F212" s="47" t="s">
        <v>167</v>
      </c>
      <c r="G212" s="42"/>
      <c r="H212" s="42"/>
      <c r="I212" s="44">
        <v>16.9</v>
      </c>
      <c r="J212" s="44">
        <f t="shared" si="74"/>
        <v>16.9</v>
      </c>
      <c r="K212" s="42">
        <v>20000</v>
      </c>
      <c r="L212" s="42">
        <f t="shared" si="29"/>
        <v>338000</v>
      </c>
      <c r="M212" s="42">
        <v>1</v>
      </c>
      <c r="N212" s="42" t="s">
        <v>60</v>
      </c>
      <c r="O212" s="101" t="s">
        <v>446</v>
      </c>
      <c r="P212" s="45">
        <v>2</v>
      </c>
      <c r="Q212" s="100">
        <v>64</v>
      </c>
      <c r="R212" s="100">
        <v>66.67</v>
      </c>
      <c r="S212" s="42">
        <v>7550</v>
      </c>
      <c r="T212" s="12">
        <f t="shared" si="75"/>
        <v>483200</v>
      </c>
      <c r="U212" s="102" t="s">
        <v>84</v>
      </c>
      <c r="V212" s="12">
        <f>+T212*0.2</f>
        <v>96640</v>
      </c>
      <c r="W212" s="12">
        <f t="shared" si="76"/>
        <v>386560</v>
      </c>
      <c r="X212" s="116"/>
      <c r="Y212" s="117">
        <f>+L212*(R212/100)+W212</f>
        <v>611904.6000000001</v>
      </c>
      <c r="Z212" s="12">
        <f>+Y212</f>
        <v>611904.6000000001</v>
      </c>
      <c r="AA212" s="12">
        <f t="shared" si="68"/>
        <v>0</v>
      </c>
      <c r="AB212" s="12"/>
      <c r="AC212" s="12">
        <f t="shared" si="69"/>
        <v>0</v>
      </c>
      <c r="AD212" s="42" t="s">
        <v>906</v>
      </c>
      <c r="AE212" s="12"/>
    </row>
    <row r="213" spans="1:31" s="46" customFormat="1" ht="21">
      <c r="A213" s="42" t="s">
        <v>0</v>
      </c>
      <c r="B213" s="42"/>
      <c r="C213" s="45"/>
      <c r="D213" s="45"/>
      <c r="E213" s="45"/>
      <c r="F213" s="47"/>
      <c r="G213" s="42"/>
      <c r="H213" s="42"/>
      <c r="I213" s="44"/>
      <c r="J213" s="44">
        <f t="shared" si="74"/>
        <v>0</v>
      </c>
      <c r="K213" s="42"/>
      <c r="L213" s="42">
        <f t="shared" si="29"/>
        <v>0</v>
      </c>
      <c r="M213" s="42">
        <v>2</v>
      </c>
      <c r="N213" s="42" t="s">
        <v>60</v>
      </c>
      <c r="O213" s="101" t="s">
        <v>446</v>
      </c>
      <c r="P213" s="45" t="s">
        <v>143</v>
      </c>
      <c r="Q213" s="100">
        <v>32</v>
      </c>
      <c r="R213" s="100">
        <v>33.33</v>
      </c>
      <c r="S213" s="42">
        <v>7550</v>
      </c>
      <c r="T213" s="12">
        <f t="shared" si="75"/>
        <v>241600</v>
      </c>
      <c r="U213" s="102" t="s">
        <v>84</v>
      </c>
      <c r="V213" s="12">
        <f>+T213*0.2</f>
        <v>48320</v>
      </c>
      <c r="W213" s="12">
        <f t="shared" si="76"/>
        <v>193280</v>
      </c>
      <c r="X213" s="116"/>
      <c r="Y213" s="117">
        <f>+L212*(R213/100)+W213</f>
        <v>305935.4</v>
      </c>
      <c r="Z213" s="12"/>
      <c r="AA213" s="12">
        <f t="shared" si="68"/>
        <v>305935.4</v>
      </c>
      <c r="AB213" s="12">
        <v>0.3</v>
      </c>
      <c r="AC213" s="12">
        <f t="shared" si="69"/>
        <v>917.8062000000001</v>
      </c>
      <c r="AD213" s="42"/>
      <c r="AE213" s="12"/>
    </row>
    <row r="214" spans="1:31" s="46" customFormat="1" ht="21">
      <c r="A214" s="42"/>
      <c r="B214" s="42"/>
      <c r="C214" s="45"/>
      <c r="D214" s="45"/>
      <c r="E214" s="45"/>
      <c r="F214" s="47"/>
      <c r="G214" s="42"/>
      <c r="H214" s="42"/>
      <c r="I214" s="44"/>
      <c r="J214" s="44">
        <f t="shared" si="74"/>
        <v>0</v>
      </c>
      <c r="K214" s="42"/>
      <c r="L214" s="42">
        <f t="shared" si="29"/>
        <v>0</v>
      </c>
      <c r="M214" s="42"/>
      <c r="N214" s="42"/>
      <c r="O214" s="42"/>
      <c r="P214" s="31"/>
      <c r="Q214" s="42"/>
      <c r="R214" s="42"/>
      <c r="S214" s="42"/>
      <c r="T214" s="12">
        <f t="shared" si="75"/>
        <v>0</v>
      </c>
      <c r="U214" s="45"/>
      <c r="V214" s="12">
        <f>+T214*0</f>
        <v>0</v>
      </c>
      <c r="W214" s="12">
        <f t="shared" si="76"/>
        <v>0</v>
      </c>
      <c r="X214" s="116"/>
      <c r="Y214" s="117">
        <f aca="true" t="shared" si="78" ref="Y214:Y229">+L214+W214</f>
        <v>0</v>
      </c>
      <c r="Z214" s="12"/>
      <c r="AA214" s="12">
        <f t="shared" si="68"/>
        <v>0</v>
      </c>
      <c r="AB214" s="12"/>
      <c r="AC214" s="12">
        <f t="shared" si="69"/>
        <v>0</v>
      </c>
      <c r="AD214" s="42"/>
      <c r="AE214" s="12"/>
    </row>
    <row r="215" spans="1:31" s="46" customFormat="1" ht="21">
      <c r="A215" s="42" t="s">
        <v>0</v>
      </c>
      <c r="B215" s="42" t="s">
        <v>1</v>
      </c>
      <c r="C215" s="45" t="s">
        <v>1053</v>
      </c>
      <c r="D215" s="45" t="s">
        <v>681</v>
      </c>
      <c r="E215" s="29" t="s">
        <v>907</v>
      </c>
      <c r="F215" s="47" t="s">
        <v>167</v>
      </c>
      <c r="G215" s="42"/>
      <c r="H215" s="42"/>
      <c r="I215" s="44">
        <v>31.4</v>
      </c>
      <c r="J215" s="44">
        <f aca="true" t="shared" si="79" ref="J215:J226">+I215+(H215*100)+(G215*400)</f>
        <v>31.4</v>
      </c>
      <c r="K215" s="42">
        <v>80000</v>
      </c>
      <c r="L215" s="42">
        <f t="shared" si="29"/>
        <v>2512000</v>
      </c>
      <c r="M215" s="42">
        <v>1</v>
      </c>
      <c r="N215" s="42" t="s">
        <v>60</v>
      </c>
      <c r="O215" s="101" t="s">
        <v>446</v>
      </c>
      <c r="P215" s="45">
        <v>2</v>
      </c>
      <c r="Q215" s="100">
        <v>336</v>
      </c>
      <c r="R215" s="100">
        <v>77.78</v>
      </c>
      <c r="S215" s="42">
        <v>7550</v>
      </c>
      <c r="T215" s="12">
        <f aca="true" t="shared" si="80" ref="T215:T226">+Q215*S215</f>
        <v>2536800</v>
      </c>
      <c r="U215" s="102" t="s">
        <v>84</v>
      </c>
      <c r="V215" s="12">
        <f aca="true" t="shared" si="81" ref="V215:V220">+T215*0.2</f>
        <v>507360</v>
      </c>
      <c r="W215" s="12">
        <f aca="true" t="shared" si="82" ref="W215:W226">+T215-V215</f>
        <v>2029440</v>
      </c>
      <c r="X215" s="116"/>
      <c r="Y215" s="117">
        <f>+L215*(R215/100)+W215</f>
        <v>3983273.6</v>
      </c>
      <c r="Z215" s="12"/>
      <c r="AA215" s="12">
        <f t="shared" si="68"/>
        <v>3983273.6</v>
      </c>
      <c r="AB215" s="12">
        <v>0.02</v>
      </c>
      <c r="AC215" s="12">
        <f t="shared" si="69"/>
        <v>796.6547200000001</v>
      </c>
      <c r="AD215" s="42"/>
      <c r="AE215" s="12"/>
    </row>
    <row r="216" spans="1:31" s="46" customFormat="1" ht="21">
      <c r="A216" s="42" t="s">
        <v>0</v>
      </c>
      <c r="B216" s="42"/>
      <c r="C216" s="45"/>
      <c r="D216" s="45"/>
      <c r="E216" s="45"/>
      <c r="F216" s="47"/>
      <c r="G216" s="42"/>
      <c r="H216" s="42"/>
      <c r="I216" s="44"/>
      <c r="J216" s="44">
        <f t="shared" si="79"/>
        <v>0</v>
      </c>
      <c r="K216" s="42"/>
      <c r="L216" s="42">
        <f>+K216*J216</f>
        <v>0</v>
      </c>
      <c r="M216" s="42">
        <v>2</v>
      </c>
      <c r="N216" s="42" t="s">
        <v>60</v>
      </c>
      <c r="O216" s="101" t="s">
        <v>446</v>
      </c>
      <c r="P216" s="45" t="s">
        <v>143</v>
      </c>
      <c r="Q216" s="100">
        <v>96</v>
      </c>
      <c r="R216" s="100">
        <v>22.22</v>
      </c>
      <c r="S216" s="42">
        <v>7550</v>
      </c>
      <c r="T216" s="12">
        <f t="shared" si="80"/>
        <v>724800</v>
      </c>
      <c r="U216" s="102" t="s">
        <v>84</v>
      </c>
      <c r="V216" s="12">
        <f t="shared" si="81"/>
        <v>144960</v>
      </c>
      <c r="W216" s="12">
        <f t="shared" si="82"/>
        <v>579840</v>
      </c>
      <c r="X216" s="116"/>
      <c r="Y216" s="117">
        <f>+L215*(R216/100)+W216</f>
        <v>1138006.4</v>
      </c>
      <c r="Z216" s="12"/>
      <c r="AA216" s="12">
        <f t="shared" si="68"/>
        <v>1138006.4</v>
      </c>
      <c r="AB216" s="12">
        <v>0.3</v>
      </c>
      <c r="AC216" s="12">
        <f t="shared" si="69"/>
        <v>3414.0191999999997</v>
      </c>
      <c r="AD216" s="42"/>
      <c r="AE216" s="12"/>
    </row>
    <row r="217" spans="1:31" s="46" customFormat="1" ht="21">
      <c r="A217" s="42" t="s">
        <v>0</v>
      </c>
      <c r="B217" s="42" t="s">
        <v>1</v>
      </c>
      <c r="C217" s="45" t="s">
        <v>1054</v>
      </c>
      <c r="D217" s="45" t="s">
        <v>682</v>
      </c>
      <c r="E217" s="30" t="s">
        <v>908</v>
      </c>
      <c r="F217" s="47" t="s">
        <v>167</v>
      </c>
      <c r="G217" s="42"/>
      <c r="H217" s="42"/>
      <c r="I217" s="44">
        <v>15.5</v>
      </c>
      <c r="J217" s="44">
        <f t="shared" si="79"/>
        <v>15.5</v>
      </c>
      <c r="K217" s="42">
        <v>80000</v>
      </c>
      <c r="L217" s="42">
        <f t="shared" si="29"/>
        <v>1240000</v>
      </c>
      <c r="M217" s="42">
        <v>1</v>
      </c>
      <c r="N217" s="42" t="s">
        <v>60</v>
      </c>
      <c r="O217" s="101" t="s">
        <v>446</v>
      </c>
      <c r="P217" s="45">
        <v>2</v>
      </c>
      <c r="Q217" s="100">
        <v>384</v>
      </c>
      <c r="R217" s="100">
        <v>88.89</v>
      </c>
      <c r="S217" s="42">
        <v>7550</v>
      </c>
      <c r="T217" s="12">
        <f t="shared" si="80"/>
        <v>2899200</v>
      </c>
      <c r="U217" s="102" t="s">
        <v>84</v>
      </c>
      <c r="V217" s="12">
        <f t="shared" si="81"/>
        <v>579840</v>
      </c>
      <c r="W217" s="12">
        <f t="shared" si="82"/>
        <v>2319360</v>
      </c>
      <c r="X217" s="116"/>
      <c r="Y217" s="117">
        <f>+L217*(R217/100)+W217</f>
        <v>3421596</v>
      </c>
      <c r="Z217" s="12"/>
      <c r="AA217" s="12">
        <f t="shared" si="68"/>
        <v>3421596</v>
      </c>
      <c r="AB217" s="12">
        <v>0.02</v>
      </c>
      <c r="AC217" s="12">
        <f t="shared" si="69"/>
        <v>684.3192</v>
      </c>
      <c r="AD217" s="42"/>
      <c r="AE217" s="12"/>
    </row>
    <row r="218" spans="1:31" s="46" customFormat="1" ht="21">
      <c r="A218" s="42" t="s">
        <v>0</v>
      </c>
      <c r="B218" s="42"/>
      <c r="C218" s="45"/>
      <c r="D218" s="45"/>
      <c r="E218" s="45"/>
      <c r="F218" s="47"/>
      <c r="G218" s="42"/>
      <c r="H218" s="42"/>
      <c r="I218" s="44"/>
      <c r="J218" s="44">
        <f t="shared" si="79"/>
        <v>0</v>
      </c>
      <c r="K218" s="42"/>
      <c r="L218" s="42">
        <f>+K218*J218</f>
        <v>0</v>
      </c>
      <c r="M218" s="42">
        <v>2</v>
      </c>
      <c r="N218" s="42" t="s">
        <v>60</v>
      </c>
      <c r="O218" s="101" t="s">
        <v>446</v>
      </c>
      <c r="P218" s="45" t="s">
        <v>143</v>
      </c>
      <c r="Q218" s="100">
        <v>48</v>
      </c>
      <c r="R218" s="100">
        <v>11.11</v>
      </c>
      <c r="S218" s="42">
        <v>7550</v>
      </c>
      <c r="T218" s="12">
        <f t="shared" si="80"/>
        <v>362400</v>
      </c>
      <c r="U218" s="102" t="s">
        <v>84</v>
      </c>
      <c r="V218" s="12">
        <f t="shared" si="81"/>
        <v>72480</v>
      </c>
      <c r="W218" s="12">
        <f t="shared" si="82"/>
        <v>289920</v>
      </c>
      <c r="X218" s="116"/>
      <c r="Y218" s="117">
        <f>+L217*(R218/100)+W218</f>
        <v>427684</v>
      </c>
      <c r="Z218" s="12"/>
      <c r="AA218" s="12">
        <f>+Y218-Z218</f>
        <v>427684</v>
      </c>
      <c r="AB218" s="12">
        <v>0.3</v>
      </c>
      <c r="AC218" s="12">
        <f>+AA218*AB218/100</f>
        <v>1283.052</v>
      </c>
      <c r="AD218" s="42"/>
      <c r="AE218" s="12"/>
    </row>
    <row r="219" spans="1:31" s="46" customFormat="1" ht="21">
      <c r="A219" s="42" t="s">
        <v>0</v>
      </c>
      <c r="B219" s="42" t="s">
        <v>1</v>
      </c>
      <c r="C219" s="45" t="s">
        <v>1055</v>
      </c>
      <c r="D219" s="45" t="s">
        <v>683</v>
      </c>
      <c r="E219" s="29" t="s">
        <v>907</v>
      </c>
      <c r="F219" s="47" t="s">
        <v>137</v>
      </c>
      <c r="G219" s="42"/>
      <c r="H219" s="42"/>
      <c r="I219" s="44">
        <v>13.5</v>
      </c>
      <c r="J219" s="44">
        <f t="shared" si="79"/>
        <v>13.5</v>
      </c>
      <c r="K219" s="42">
        <v>25000</v>
      </c>
      <c r="L219" s="42">
        <f t="shared" si="29"/>
        <v>337500</v>
      </c>
      <c r="M219" s="42"/>
      <c r="N219" s="42" t="s">
        <v>60</v>
      </c>
      <c r="O219" s="101" t="s">
        <v>446</v>
      </c>
      <c r="P219" s="45">
        <v>2</v>
      </c>
      <c r="Q219" s="100">
        <v>432</v>
      </c>
      <c r="R219" s="100"/>
      <c r="S219" s="42">
        <v>7550</v>
      </c>
      <c r="T219" s="12">
        <f t="shared" si="80"/>
        <v>3261600</v>
      </c>
      <c r="U219" s="102" t="s">
        <v>84</v>
      </c>
      <c r="V219" s="12">
        <f t="shared" si="81"/>
        <v>652320</v>
      </c>
      <c r="W219" s="12">
        <f t="shared" si="82"/>
        <v>2609280</v>
      </c>
      <c r="X219" s="116"/>
      <c r="Y219" s="117">
        <f t="shared" si="78"/>
        <v>2946780</v>
      </c>
      <c r="Z219" s="12"/>
      <c r="AA219" s="12">
        <f t="shared" si="68"/>
        <v>2946780</v>
      </c>
      <c r="AB219" s="12">
        <v>0.02</v>
      </c>
      <c r="AC219" s="12">
        <f t="shared" si="69"/>
        <v>589.356</v>
      </c>
      <c r="AD219" s="42"/>
      <c r="AE219" s="12"/>
    </row>
    <row r="220" spans="1:31" s="46" customFormat="1" ht="21">
      <c r="A220" s="42" t="s">
        <v>0</v>
      </c>
      <c r="B220" s="42" t="s">
        <v>1</v>
      </c>
      <c r="C220" s="45" t="s">
        <v>1056</v>
      </c>
      <c r="D220" s="45" t="s">
        <v>684</v>
      </c>
      <c r="E220" s="29" t="s">
        <v>907</v>
      </c>
      <c r="F220" s="47" t="s">
        <v>137</v>
      </c>
      <c r="G220" s="42"/>
      <c r="H220" s="42"/>
      <c r="I220" s="44">
        <v>13.7</v>
      </c>
      <c r="J220" s="44">
        <f t="shared" si="79"/>
        <v>13.7</v>
      </c>
      <c r="K220" s="42">
        <v>25000</v>
      </c>
      <c r="L220" s="42">
        <f t="shared" si="29"/>
        <v>342500</v>
      </c>
      <c r="M220" s="42"/>
      <c r="N220" s="42" t="s">
        <v>60</v>
      </c>
      <c r="O220" s="101" t="s">
        <v>446</v>
      </c>
      <c r="P220" s="45">
        <v>2</v>
      </c>
      <c r="Q220" s="100">
        <v>196</v>
      </c>
      <c r="R220" s="100"/>
      <c r="S220" s="42">
        <v>7550</v>
      </c>
      <c r="T220" s="12">
        <f t="shared" si="80"/>
        <v>1479800</v>
      </c>
      <c r="U220" s="102" t="s">
        <v>84</v>
      </c>
      <c r="V220" s="12">
        <f t="shared" si="81"/>
        <v>295960</v>
      </c>
      <c r="W220" s="12">
        <f t="shared" si="82"/>
        <v>1183840</v>
      </c>
      <c r="X220" s="116"/>
      <c r="Y220" s="117">
        <f t="shared" si="78"/>
        <v>1526340</v>
      </c>
      <c r="Z220" s="12"/>
      <c r="AA220" s="12">
        <f t="shared" si="68"/>
        <v>1526340</v>
      </c>
      <c r="AB220" s="12">
        <v>0.02</v>
      </c>
      <c r="AC220" s="12">
        <f t="shared" si="69"/>
        <v>305.268</v>
      </c>
      <c r="AD220" s="42"/>
      <c r="AE220" s="12"/>
    </row>
    <row r="221" spans="1:31" s="46" customFormat="1" ht="21">
      <c r="A221" s="42" t="s">
        <v>0</v>
      </c>
      <c r="B221" s="42" t="s">
        <v>1</v>
      </c>
      <c r="C221" s="45" t="s">
        <v>1057</v>
      </c>
      <c r="D221" s="45" t="s">
        <v>685</v>
      </c>
      <c r="E221" s="10" t="s">
        <v>909</v>
      </c>
      <c r="F221" s="47" t="s">
        <v>140</v>
      </c>
      <c r="G221" s="42"/>
      <c r="H221" s="42"/>
      <c r="I221" s="44">
        <v>44.6</v>
      </c>
      <c r="J221" s="44">
        <f t="shared" si="79"/>
        <v>44.6</v>
      </c>
      <c r="K221" s="42">
        <v>8000</v>
      </c>
      <c r="L221" s="42">
        <f aca="true" t="shared" si="83" ref="L221:L226">+K221*J221</f>
        <v>356800</v>
      </c>
      <c r="M221" s="42"/>
      <c r="N221" s="42"/>
      <c r="O221" s="100"/>
      <c r="P221" s="45"/>
      <c r="Q221" s="100"/>
      <c r="R221" s="100"/>
      <c r="S221" s="42"/>
      <c r="T221" s="12">
        <f t="shared" si="80"/>
        <v>0</v>
      </c>
      <c r="U221" s="45"/>
      <c r="V221" s="12">
        <f aca="true" t="shared" si="84" ref="V221:V226">+T221*0</f>
        <v>0</v>
      </c>
      <c r="W221" s="12">
        <f t="shared" si="82"/>
        <v>0</v>
      </c>
      <c r="X221" s="116"/>
      <c r="Y221" s="117">
        <f t="shared" si="78"/>
        <v>356800</v>
      </c>
      <c r="Z221" s="12"/>
      <c r="AA221" s="12">
        <f aca="true" t="shared" si="85" ref="AA221:AA226">+Y221-Z221</f>
        <v>356800</v>
      </c>
      <c r="AB221" s="12">
        <v>0.3</v>
      </c>
      <c r="AC221" s="12">
        <f aca="true" t="shared" si="86" ref="AC221:AC226">+AA221*AB221/100</f>
        <v>1070.4</v>
      </c>
      <c r="AD221" s="42"/>
      <c r="AE221" s="12"/>
    </row>
    <row r="222" spans="1:31" s="46" customFormat="1" ht="21">
      <c r="A222" s="42" t="s">
        <v>0</v>
      </c>
      <c r="B222" s="42" t="s">
        <v>1</v>
      </c>
      <c r="C222" s="45" t="s">
        <v>1058</v>
      </c>
      <c r="D222" s="45" t="s">
        <v>686</v>
      </c>
      <c r="E222" s="29" t="s">
        <v>907</v>
      </c>
      <c r="F222" s="47" t="s">
        <v>177</v>
      </c>
      <c r="G222" s="42"/>
      <c r="H222" s="42"/>
      <c r="I222" s="44">
        <v>47.2</v>
      </c>
      <c r="J222" s="44">
        <f t="shared" si="79"/>
        <v>47.2</v>
      </c>
      <c r="K222" s="42">
        <v>5000</v>
      </c>
      <c r="L222" s="42">
        <f t="shared" si="83"/>
        <v>236000</v>
      </c>
      <c r="M222" s="42"/>
      <c r="N222" s="42"/>
      <c r="O222" s="100"/>
      <c r="P222" s="31"/>
      <c r="Q222" s="100"/>
      <c r="R222" s="100"/>
      <c r="S222" s="42"/>
      <c r="T222" s="12">
        <f t="shared" si="80"/>
        <v>0</v>
      </c>
      <c r="U222" s="45"/>
      <c r="V222" s="12">
        <f t="shared" si="84"/>
        <v>0</v>
      </c>
      <c r="W222" s="12">
        <f t="shared" si="82"/>
        <v>0</v>
      </c>
      <c r="X222" s="116"/>
      <c r="Y222" s="117">
        <f t="shared" si="78"/>
        <v>236000</v>
      </c>
      <c r="Z222" s="12">
        <f>+Y222</f>
        <v>236000</v>
      </c>
      <c r="AA222" s="12">
        <f t="shared" si="85"/>
        <v>0</v>
      </c>
      <c r="AB222" s="12"/>
      <c r="AC222" s="12">
        <f t="shared" si="86"/>
        <v>0</v>
      </c>
      <c r="AD222" s="42"/>
      <c r="AE222" s="12"/>
    </row>
    <row r="223" spans="1:31" s="46" customFormat="1" ht="21">
      <c r="A223" s="42" t="s">
        <v>0</v>
      </c>
      <c r="B223" s="42" t="s">
        <v>1</v>
      </c>
      <c r="C223" s="45" t="s">
        <v>1059</v>
      </c>
      <c r="D223" s="51" t="s">
        <v>687</v>
      </c>
      <c r="E223" s="29" t="s">
        <v>907</v>
      </c>
      <c r="F223" s="47" t="s">
        <v>177</v>
      </c>
      <c r="G223" s="42">
        <v>2</v>
      </c>
      <c r="H223" s="42"/>
      <c r="I223" s="44">
        <v>2.5</v>
      </c>
      <c r="J223" s="44">
        <f t="shared" si="79"/>
        <v>802.5</v>
      </c>
      <c r="K223" s="42">
        <v>5000</v>
      </c>
      <c r="L223" s="42">
        <f t="shared" si="83"/>
        <v>4012500</v>
      </c>
      <c r="M223" s="42"/>
      <c r="N223" s="42"/>
      <c r="O223" s="42"/>
      <c r="P223" s="31"/>
      <c r="Q223" s="42"/>
      <c r="R223" s="100"/>
      <c r="S223" s="42"/>
      <c r="T223" s="12">
        <f t="shared" si="80"/>
        <v>0</v>
      </c>
      <c r="U223" s="45"/>
      <c r="V223" s="12">
        <f t="shared" si="84"/>
        <v>0</v>
      </c>
      <c r="W223" s="12">
        <f t="shared" si="82"/>
        <v>0</v>
      </c>
      <c r="X223" s="116"/>
      <c r="Y223" s="117">
        <f t="shared" si="78"/>
        <v>4012500</v>
      </c>
      <c r="Z223" s="12">
        <f>+Y223</f>
        <v>4012500</v>
      </c>
      <c r="AA223" s="12">
        <f t="shared" si="85"/>
        <v>0</v>
      </c>
      <c r="AB223" s="12"/>
      <c r="AC223" s="12">
        <f t="shared" si="86"/>
        <v>0</v>
      </c>
      <c r="AD223" s="42"/>
      <c r="AE223" s="12"/>
    </row>
    <row r="224" spans="1:31" s="46" customFormat="1" ht="21">
      <c r="A224" s="42" t="s">
        <v>0</v>
      </c>
      <c r="B224" s="42" t="s">
        <v>1</v>
      </c>
      <c r="C224" s="45" t="s">
        <v>338</v>
      </c>
      <c r="D224" s="45" t="s">
        <v>688</v>
      </c>
      <c r="E224" s="29" t="s">
        <v>907</v>
      </c>
      <c r="F224" s="47" t="s">
        <v>140</v>
      </c>
      <c r="G224" s="42">
        <v>2</v>
      </c>
      <c r="H224" s="42"/>
      <c r="I224" s="44"/>
      <c r="J224" s="44">
        <f t="shared" si="79"/>
        <v>800</v>
      </c>
      <c r="K224" s="42">
        <v>4350</v>
      </c>
      <c r="L224" s="42">
        <f t="shared" si="83"/>
        <v>3480000</v>
      </c>
      <c r="M224" s="42"/>
      <c r="N224" s="42"/>
      <c r="O224" s="100"/>
      <c r="P224" s="45"/>
      <c r="Q224" s="100"/>
      <c r="R224" s="100"/>
      <c r="S224" s="42"/>
      <c r="T224" s="12">
        <f t="shared" si="80"/>
        <v>0</v>
      </c>
      <c r="U224" s="45"/>
      <c r="V224" s="12">
        <f t="shared" si="84"/>
        <v>0</v>
      </c>
      <c r="W224" s="12">
        <f t="shared" si="82"/>
        <v>0</v>
      </c>
      <c r="X224" s="116"/>
      <c r="Y224" s="117">
        <f t="shared" si="78"/>
        <v>3480000</v>
      </c>
      <c r="Z224" s="12"/>
      <c r="AA224" s="12">
        <f t="shared" si="85"/>
        <v>3480000</v>
      </c>
      <c r="AB224" s="12">
        <v>0.3</v>
      </c>
      <c r="AC224" s="12">
        <f t="shared" si="86"/>
        <v>10440</v>
      </c>
      <c r="AD224" s="42"/>
      <c r="AE224" s="12"/>
    </row>
    <row r="225" spans="1:31" s="46" customFormat="1" ht="21">
      <c r="A225" s="42" t="s">
        <v>0</v>
      </c>
      <c r="B225" s="42" t="s">
        <v>1</v>
      </c>
      <c r="C225" s="45" t="s">
        <v>1060</v>
      </c>
      <c r="D225" s="51" t="s">
        <v>689</v>
      </c>
      <c r="E225" s="29" t="s">
        <v>907</v>
      </c>
      <c r="F225" s="47" t="s">
        <v>140</v>
      </c>
      <c r="G225" s="42"/>
      <c r="H225" s="42"/>
      <c r="I225" s="44">
        <v>60.1</v>
      </c>
      <c r="J225" s="44">
        <f t="shared" si="79"/>
        <v>60.1</v>
      </c>
      <c r="K225" s="42">
        <v>10000</v>
      </c>
      <c r="L225" s="42">
        <f t="shared" si="83"/>
        <v>601000</v>
      </c>
      <c r="M225" s="42"/>
      <c r="N225" s="42"/>
      <c r="O225" s="100"/>
      <c r="P225" s="45"/>
      <c r="Q225" s="100"/>
      <c r="R225" s="100"/>
      <c r="S225" s="42"/>
      <c r="T225" s="12">
        <f t="shared" si="80"/>
        <v>0</v>
      </c>
      <c r="U225" s="45"/>
      <c r="V225" s="12">
        <f t="shared" si="84"/>
        <v>0</v>
      </c>
      <c r="W225" s="12">
        <f t="shared" si="82"/>
        <v>0</v>
      </c>
      <c r="X225" s="116"/>
      <c r="Y225" s="117">
        <f t="shared" si="78"/>
        <v>601000</v>
      </c>
      <c r="Z225" s="12"/>
      <c r="AA225" s="12">
        <f t="shared" si="85"/>
        <v>601000</v>
      </c>
      <c r="AB225" s="12">
        <v>0.3</v>
      </c>
      <c r="AC225" s="12">
        <f t="shared" si="86"/>
        <v>1803</v>
      </c>
      <c r="AD225" s="42"/>
      <c r="AE225" s="12"/>
    </row>
    <row r="226" spans="1:31" s="46" customFormat="1" ht="21">
      <c r="A226" s="42"/>
      <c r="B226" s="42"/>
      <c r="C226" s="45"/>
      <c r="D226" s="45"/>
      <c r="E226" s="45"/>
      <c r="F226" s="47"/>
      <c r="G226" s="42"/>
      <c r="H226" s="42"/>
      <c r="I226" s="44"/>
      <c r="J226" s="44">
        <f t="shared" si="79"/>
        <v>0</v>
      </c>
      <c r="K226" s="42"/>
      <c r="L226" s="42">
        <f t="shared" si="83"/>
        <v>0</v>
      </c>
      <c r="M226" s="42"/>
      <c r="N226" s="42"/>
      <c r="O226" s="42"/>
      <c r="P226" s="31"/>
      <c r="Q226" s="42"/>
      <c r="R226" s="42"/>
      <c r="S226" s="42"/>
      <c r="T226" s="12">
        <f t="shared" si="80"/>
        <v>0</v>
      </c>
      <c r="U226" s="45"/>
      <c r="V226" s="12">
        <f t="shared" si="84"/>
        <v>0</v>
      </c>
      <c r="W226" s="12">
        <f t="shared" si="82"/>
        <v>0</v>
      </c>
      <c r="X226" s="116"/>
      <c r="Y226" s="117">
        <f t="shared" si="78"/>
        <v>0</v>
      </c>
      <c r="Z226" s="12"/>
      <c r="AA226" s="12">
        <f t="shared" si="85"/>
        <v>0</v>
      </c>
      <c r="AB226" s="12"/>
      <c r="AC226" s="12">
        <f t="shared" si="86"/>
        <v>0</v>
      </c>
      <c r="AD226" s="42"/>
      <c r="AE226" s="12"/>
    </row>
    <row r="227" spans="1:31" s="46" customFormat="1" ht="21">
      <c r="A227" s="42" t="s">
        <v>0</v>
      </c>
      <c r="B227" s="42" t="s">
        <v>1</v>
      </c>
      <c r="C227" s="45" t="s">
        <v>1061</v>
      </c>
      <c r="D227" s="45" t="s">
        <v>690</v>
      </c>
      <c r="E227" s="29" t="s">
        <v>907</v>
      </c>
      <c r="F227" s="47" t="s">
        <v>137</v>
      </c>
      <c r="G227" s="42"/>
      <c r="H227" s="42"/>
      <c r="I227" s="44">
        <v>60.3</v>
      </c>
      <c r="J227" s="44">
        <f aca="true" t="shared" si="87" ref="J227:J237">+I227+(H227*100)+(G227*400)</f>
        <v>60.3</v>
      </c>
      <c r="K227" s="42">
        <v>12000</v>
      </c>
      <c r="L227" s="42">
        <f t="shared" si="29"/>
        <v>723600</v>
      </c>
      <c r="M227" s="42"/>
      <c r="N227" s="42" t="s">
        <v>60</v>
      </c>
      <c r="O227" s="101" t="s">
        <v>446</v>
      </c>
      <c r="P227" s="45">
        <v>2</v>
      </c>
      <c r="Q227" s="100">
        <v>112</v>
      </c>
      <c r="R227" s="100"/>
      <c r="S227" s="42">
        <v>7550</v>
      </c>
      <c r="T227" s="12">
        <f aca="true" t="shared" si="88" ref="T227:T237">+Q227*S227</f>
        <v>845600</v>
      </c>
      <c r="U227" s="102" t="s">
        <v>84</v>
      </c>
      <c r="V227" s="12">
        <f>+T227*0.2</f>
        <v>169120</v>
      </c>
      <c r="W227" s="12">
        <f aca="true" t="shared" si="89" ref="W227:W237">+T227-V227</f>
        <v>676480</v>
      </c>
      <c r="X227" s="116"/>
      <c r="Y227" s="117">
        <f t="shared" si="78"/>
        <v>1400080</v>
      </c>
      <c r="Z227" s="12">
        <f>+Y227</f>
        <v>1400080</v>
      </c>
      <c r="AA227" s="12">
        <f t="shared" si="68"/>
        <v>0</v>
      </c>
      <c r="AB227" s="12"/>
      <c r="AC227" s="12">
        <f t="shared" si="69"/>
        <v>0</v>
      </c>
      <c r="AD227" s="42" t="s">
        <v>906</v>
      </c>
      <c r="AE227" s="12"/>
    </row>
    <row r="228" spans="1:31" s="46" customFormat="1" ht="21">
      <c r="A228" s="42" t="s">
        <v>0</v>
      </c>
      <c r="B228" s="42" t="s">
        <v>1</v>
      </c>
      <c r="C228" s="45" t="s">
        <v>1062</v>
      </c>
      <c r="D228" s="45" t="s">
        <v>691</v>
      </c>
      <c r="E228" s="29" t="s">
        <v>907</v>
      </c>
      <c r="F228" s="47" t="s">
        <v>137</v>
      </c>
      <c r="G228" s="42"/>
      <c r="H228" s="42"/>
      <c r="I228" s="44">
        <v>25.3</v>
      </c>
      <c r="J228" s="44">
        <f t="shared" si="87"/>
        <v>25.3</v>
      </c>
      <c r="K228" s="42">
        <v>8000</v>
      </c>
      <c r="L228" s="42">
        <f t="shared" si="29"/>
        <v>202400</v>
      </c>
      <c r="M228" s="42"/>
      <c r="N228" s="42" t="s">
        <v>64</v>
      </c>
      <c r="O228" s="101" t="s">
        <v>446</v>
      </c>
      <c r="P228" s="45">
        <v>2</v>
      </c>
      <c r="Q228" s="100">
        <v>42</v>
      </c>
      <c r="R228" s="100"/>
      <c r="S228" s="42">
        <v>6550</v>
      </c>
      <c r="T228" s="12">
        <f t="shared" si="88"/>
        <v>275100</v>
      </c>
      <c r="U228" s="102" t="s">
        <v>84</v>
      </c>
      <c r="V228" s="12">
        <f>+T228*0.2</f>
        <v>55020</v>
      </c>
      <c r="W228" s="12">
        <f t="shared" si="89"/>
        <v>220080</v>
      </c>
      <c r="X228" s="116"/>
      <c r="Y228" s="117">
        <f t="shared" si="78"/>
        <v>422480</v>
      </c>
      <c r="Z228" s="12"/>
      <c r="AA228" s="12">
        <f t="shared" si="68"/>
        <v>422480</v>
      </c>
      <c r="AB228" s="12">
        <v>0.02</v>
      </c>
      <c r="AC228" s="12">
        <f t="shared" si="69"/>
        <v>84.49600000000001</v>
      </c>
      <c r="AD228" s="42"/>
      <c r="AE228" s="12"/>
    </row>
    <row r="229" spans="1:31" s="46" customFormat="1" ht="21">
      <c r="A229" s="42"/>
      <c r="B229" s="42"/>
      <c r="C229" s="45"/>
      <c r="D229" s="45"/>
      <c r="E229" s="45"/>
      <c r="F229" s="47"/>
      <c r="G229" s="42"/>
      <c r="H229" s="42"/>
      <c r="I229" s="44"/>
      <c r="J229" s="44">
        <f t="shared" si="87"/>
        <v>0</v>
      </c>
      <c r="K229" s="42"/>
      <c r="L229" s="42">
        <f t="shared" si="29"/>
        <v>0</v>
      </c>
      <c r="M229" s="42"/>
      <c r="N229" s="42"/>
      <c r="O229" s="42"/>
      <c r="P229" s="31"/>
      <c r="Q229" s="42"/>
      <c r="R229" s="42"/>
      <c r="S229" s="42"/>
      <c r="T229" s="12">
        <f t="shared" si="88"/>
        <v>0</v>
      </c>
      <c r="U229" s="45"/>
      <c r="V229" s="12">
        <f>+T229*0</f>
        <v>0</v>
      </c>
      <c r="W229" s="12">
        <f t="shared" si="89"/>
        <v>0</v>
      </c>
      <c r="X229" s="116"/>
      <c r="Y229" s="117">
        <f t="shared" si="78"/>
        <v>0</v>
      </c>
      <c r="Z229" s="12"/>
      <c r="AA229" s="12">
        <f t="shared" si="68"/>
        <v>0</v>
      </c>
      <c r="AB229" s="12"/>
      <c r="AC229" s="12">
        <f t="shared" si="69"/>
        <v>0</v>
      </c>
      <c r="AD229" s="42"/>
      <c r="AE229" s="12"/>
    </row>
    <row r="230" spans="1:31" s="46" customFormat="1" ht="21">
      <c r="A230" s="42" t="s">
        <v>0</v>
      </c>
      <c r="B230" s="42" t="s">
        <v>1</v>
      </c>
      <c r="C230" s="45" t="s">
        <v>1063</v>
      </c>
      <c r="D230" s="51" t="s">
        <v>692</v>
      </c>
      <c r="E230" s="30" t="s">
        <v>908</v>
      </c>
      <c r="F230" s="47" t="s">
        <v>137</v>
      </c>
      <c r="G230" s="42"/>
      <c r="H230" s="42">
        <v>2</v>
      </c>
      <c r="I230" s="44">
        <v>38.3</v>
      </c>
      <c r="J230" s="44">
        <f t="shared" si="87"/>
        <v>238.3</v>
      </c>
      <c r="K230" s="42">
        <v>45000</v>
      </c>
      <c r="L230" s="42">
        <f t="shared" si="29"/>
        <v>10723500</v>
      </c>
      <c r="M230" s="42">
        <v>1</v>
      </c>
      <c r="N230" s="42" t="s">
        <v>694</v>
      </c>
      <c r="O230" s="101" t="s">
        <v>446</v>
      </c>
      <c r="P230" s="45">
        <v>2</v>
      </c>
      <c r="Q230" s="100">
        <f>30*5+75</f>
        <v>225</v>
      </c>
      <c r="R230" s="100">
        <v>44.07</v>
      </c>
      <c r="S230" s="42">
        <v>7550</v>
      </c>
      <c r="T230" s="12">
        <f t="shared" si="88"/>
        <v>1698750</v>
      </c>
      <c r="U230" s="102" t="s">
        <v>84</v>
      </c>
      <c r="V230" s="12">
        <f>+T230*0.2</f>
        <v>339750</v>
      </c>
      <c r="W230" s="12">
        <f t="shared" si="89"/>
        <v>1359000</v>
      </c>
      <c r="X230" s="116"/>
      <c r="Y230" s="117">
        <f>+L230*(R230/100)+W230</f>
        <v>6084846.45</v>
      </c>
      <c r="Z230" s="12"/>
      <c r="AA230" s="12">
        <f t="shared" si="68"/>
        <v>6084846.45</v>
      </c>
      <c r="AB230" s="12">
        <v>0.02</v>
      </c>
      <c r="AC230" s="12">
        <f t="shared" si="69"/>
        <v>1216.96929</v>
      </c>
      <c r="AD230" s="42"/>
      <c r="AE230" s="12"/>
    </row>
    <row r="231" spans="1:31" s="46" customFormat="1" ht="21">
      <c r="A231" s="42" t="s">
        <v>0</v>
      </c>
      <c r="B231" s="42"/>
      <c r="C231" s="45"/>
      <c r="D231" s="51"/>
      <c r="E231" s="45"/>
      <c r="F231" s="47"/>
      <c r="G231" s="42"/>
      <c r="H231" s="42"/>
      <c r="I231" s="44"/>
      <c r="J231" s="44">
        <f t="shared" si="87"/>
        <v>0</v>
      </c>
      <c r="K231" s="42"/>
      <c r="L231" s="42">
        <f>+K231*J231</f>
        <v>0</v>
      </c>
      <c r="M231" s="42">
        <v>2</v>
      </c>
      <c r="N231" s="42" t="s">
        <v>64</v>
      </c>
      <c r="O231" s="101" t="s">
        <v>446</v>
      </c>
      <c r="P231" s="45">
        <v>2</v>
      </c>
      <c r="Q231" s="100">
        <v>285.6</v>
      </c>
      <c r="R231" s="100">
        <v>55.93</v>
      </c>
      <c r="S231" s="42">
        <v>6550</v>
      </c>
      <c r="T231" s="12">
        <f t="shared" si="88"/>
        <v>1870680.0000000002</v>
      </c>
      <c r="U231" s="102" t="s">
        <v>84</v>
      </c>
      <c r="V231" s="12">
        <f>+T231*0.2</f>
        <v>374136.00000000006</v>
      </c>
      <c r="W231" s="12">
        <f t="shared" si="89"/>
        <v>1496544.0000000002</v>
      </c>
      <c r="X231" s="116"/>
      <c r="Y231" s="117">
        <f>+L230*(R231/100)+W231</f>
        <v>7494197.55</v>
      </c>
      <c r="Z231" s="12"/>
      <c r="AA231" s="12">
        <f>+Y231-Z231</f>
        <v>7494197.55</v>
      </c>
      <c r="AB231" s="12">
        <v>0.02</v>
      </c>
      <c r="AC231" s="12">
        <f>+AA231*AB231/100</f>
        <v>1498.83951</v>
      </c>
      <c r="AD231" s="42"/>
      <c r="AE231" s="12"/>
    </row>
    <row r="232" spans="1:31" s="46" customFormat="1" ht="21">
      <c r="A232" s="42" t="s">
        <v>0</v>
      </c>
      <c r="B232" s="42" t="s">
        <v>1</v>
      </c>
      <c r="C232" s="45" t="s">
        <v>1064</v>
      </c>
      <c r="D232" s="51" t="s">
        <v>693</v>
      </c>
      <c r="E232" s="30" t="s">
        <v>908</v>
      </c>
      <c r="F232" s="47" t="s">
        <v>137</v>
      </c>
      <c r="G232" s="42"/>
      <c r="H232" s="42">
        <v>1</v>
      </c>
      <c r="I232" s="44">
        <v>64.9</v>
      </c>
      <c r="J232" s="44">
        <f t="shared" si="87"/>
        <v>164.9</v>
      </c>
      <c r="K232" s="42">
        <v>39000</v>
      </c>
      <c r="L232" s="42">
        <f t="shared" si="29"/>
        <v>6431100</v>
      </c>
      <c r="M232" s="42">
        <v>1</v>
      </c>
      <c r="N232" s="42" t="s">
        <v>64</v>
      </c>
      <c r="O232" s="101" t="s">
        <v>446</v>
      </c>
      <c r="P232" s="45">
        <v>2</v>
      </c>
      <c r="Q232" s="100">
        <v>70</v>
      </c>
      <c r="R232" s="100">
        <v>58.33</v>
      </c>
      <c r="S232" s="42">
        <v>6550</v>
      </c>
      <c r="T232" s="12">
        <f t="shared" si="88"/>
        <v>458500</v>
      </c>
      <c r="U232" s="102" t="s">
        <v>83</v>
      </c>
      <c r="V232" s="12">
        <f>+T232*0.18</f>
        <v>82530</v>
      </c>
      <c r="W232" s="12">
        <f t="shared" si="89"/>
        <v>375970</v>
      </c>
      <c r="X232" s="116"/>
      <c r="Y232" s="117">
        <f>+L232*(R232/100)+W232</f>
        <v>4127230.6299999994</v>
      </c>
      <c r="Z232" s="12"/>
      <c r="AA232" s="12">
        <f t="shared" si="68"/>
        <v>4127230.6299999994</v>
      </c>
      <c r="AB232" s="12">
        <v>0.02</v>
      </c>
      <c r="AC232" s="12">
        <f t="shared" si="69"/>
        <v>825.4461259999999</v>
      </c>
      <c r="AD232" s="42"/>
      <c r="AE232" s="12"/>
    </row>
    <row r="233" spans="1:31" s="46" customFormat="1" ht="21">
      <c r="A233" s="42" t="s">
        <v>0</v>
      </c>
      <c r="B233" s="42"/>
      <c r="C233" s="45"/>
      <c r="D233" s="45"/>
      <c r="E233" s="45"/>
      <c r="F233" s="47"/>
      <c r="G233" s="42"/>
      <c r="H233" s="42"/>
      <c r="I233" s="44"/>
      <c r="J233" s="44">
        <f t="shared" si="87"/>
        <v>0</v>
      </c>
      <c r="K233" s="42"/>
      <c r="L233" s="42">
        <f t="shared" si="29"/>
        <v>0</v>
      </c>
      <c r="M233" s="42">
        <v>2</v>
      </c>
      <c r="N233" s="42" t="s">
        <v>64</v>
      </c>
      <c r="O233" s="101" t="s">
        <v>454</v>
      </c>
      <c r="P233" s="45">
        <v>2</v>
      </c>
      <c r="Q233" s="100">
        <v>50</v>
      </c>
      <c r="R233" s="100">
        <v>41.67</v>
      </c>
      <c r="S233" s="42">
        <v>6550</v>
      </c>
      <c r="T233" s="12">
        <f t="shared" si="88"/>
        <v>327500</v>
      </c>
      <c r="U233" s="102" t="s">
        <v>74</v>
      </c>
      <c r="V233" s="12">
        <f>+T233*0.36</f>
        <v>117900</v>
      </c>
      <c r="W233" s="12">
        <f t="shared" si="89"/>
        <v>209600</v>
      </c>
      <c r="X233" s="116"/>
      <c r="Y233" s="117">
        <f>+L232*(R233/100)+W233</f>
        <v>2889439.37</v>
      </c>
      <c r="Z233" s="12"/>
      <c r="AA233" s="12">
        <f t="shared" si="68"/>
        <v>2889439.37</v>
      </c>
      <c r="AB233" s="12">
        <v>0.02</v>
      </c>
      <c r="AC233" s="12">
        <f t="shared" si="69"/>
        <v>577.887874</v>
      </c>
      <c r="AD233" s="42"/>
      <c r="AE233" s="12"/>
    </row>
    <row r="234" spans="1:31" s="46" customFormat="1" ht="21">
      <c r="A234" s="42"/>
      <c r="B234" s="42"/>
      <c r="C234" s="45"/>
      <c r="D234" s="45"/>
      <c r="E234" s="45"/>
      <c r="F234" s="47"/>
      <c r="G234" s="42"/>
      <c r="H234" s="42"/>
      <c r="I234" s="44"/>
      <c r="J234" s="44">
        <f t="shared" si="87"/>
        <v>0</v>
      </c>
      <c r="K234" s="42"/>
      <c r="L234" s="42">
        <f t="shared" si="29"/>
        <v>0</v>
      </c>
      <c r="M234" s="42"/>
      <c r="N234" s="42"/>
      <c r="O234" s="42"/>
      <c r="P234" s="31"/>
      <c r="Q234" s="42"/>
      <c r="R234" s="42"/>
      <c r="S234" s="42"/>
      <c r="T234" s="12">
        <f t="shared" si="88"/>
        <v>0</v>
      </c>
      <c r="U234" s="45"/>
      <c r="V234" s="12">
        <f>+T234*0</f>
        <v>0</v>
      </c>
      <c r="W234" s="12">
        <f t="shared" si="89"/>
        <v>0</v>
      </c>
      <c r="X234" s="116"/>
      <c r="Y234" s="117">
        <f>+L234+W234</f>
        <v>0</v>
      </c>
      <c r="Z234" s="12"/>
      <c r="AA234" s="12">
        <f t="shared" si="68"/>
        <v>0</v>
      </c>
      <c r="AB234" s="12"/>
      <c r="AC234" s="12">
        <f t="shared" si="69"/>
        <v>0</v>
      </c>
      <c r="AD234" s="42"/>
      <c r="AE234" s="12"/>
    </row>
    <row r="235" spans="1:31" s="46" customFormat="1" ht="21">
      <c r="A235" s="42" t="s">
        <v>0</v>
      </c>
      <c r="B235" s="42" t="s">
        <v>1</v>
      </c>
      <c r="C235" s="45" t="s">
        <v>1065</v>
      </c>
      <c r="D235" s="51" t="s">
        <v>695</v>
      </c>
      <c r="E235" s="10" t="s">
        <v>909</v>
      </c>
      <c r="F235" s="47" t="s">
        <v>140</v>
      </c>
      <c r="G235" s="42"/>
      <c r="H235" s="42"/>
      <c r="I235" s="44">
        <v>80</v>
      </c>
      <c r="J235" s="44">
        <f t="shared" si="87"/>
        <v>80</v>
      </c>
      <c r="K235" s="42">
        <v>8000</v>
      </c>
      <c r="L235" s="42">
        <f t="shared" si="29"/>
        <v>640000</v>
      </c>
      <c r="M235" s="42"/>
      <c r="N235" s="42"/>
      <c r="O235" s="100"/>
      <c r="P235" s="45"/>
      <c r="Q235" s="100"/>
      <c r="R235" s="100"/>
      <c r="S235" s="42"/>
      <c r="T235" s="12">
        <f t="shared" si="88"/>
        <v>0</v>
      </c>
      <c r="U235" s="45"/>
      <c r="V235" s="12">
        <f>+T235*0</f>
        <v>0</v>
      </c>
      <c r="W235" s="12">
        <f t="shared" si="89"/>
        <v>0</v>
      </c>
      <c r="X235" s="116"/>
      <c r="Y235" s="117">
        <f>+L235+W235</f>
        <v>640000</v>
      </c>
      <c r="Z235" s="12"/>
      <c r="AA235" s="12">
        <f t="shared" si="68"/>
        <v>640000</v>
      </c>
      <c r="AB235" s="12">
        <v>0.3</v>
      </c>
      <c r="AC235" s="12">
        <f t="shared" si="69"/>
        <v>1920</v>
      </c>
      <c r="AD235" s="42"/>
      <c r="AE235" s="12"/>
    </row>
    <row r="236" spans="1:31" s="46" customFormat="1" ht="21">
      <c r="A236" s="42"/>
      <c r="B236" s="42"/>
      <c r="C236" s="45"/>
      <c r="D236" s="45"/>
      <c r="E236" s="45"/>
      <c r="F236" s="47"/>
      <c r="G236" s="42"/>
      <c r="H236" s="42"/>
      <c r="I236" s="44"/>
      <c r="J236" s="44">
        <f t="shared" si="87"/>
        <v>0</v>
      </c>
      <c r="K236" s="42"/>
      <c r="L236" s="42">
        <f t="shared" si="29"/>
        <v>0</v>
      </c>
      <c r="M236" s="42"/>
      <c r="N236" s="42"/>
      <c r="O236" s="42"/>
      <c r="P236" s="31"/>
      <c r="Q236" s="42"/>
      <c r="R236" s="42"/>
      <c r="S236" s="42"/>
      <c r="T236" s="12">
        <f t="shared" si="88"/>
        <v>0</v>
      </c>
      <c r="U236" s="45"/>
      <c r="V236" s="12">
        <f>+T236*0</f>
        <v>0</v>
      </c>
      <c r="W236" s="12">
        <f t="shared" si="89"/>
        <v>0</v>
      </c>
      <c r="X236" s="116"/>
      <c r="Y236" s="117">
        <f>+L236+W236</f>
        <v>0</v>
      </c>
      <c r="Z236" s="12"/>
      <c r="AA236" s="12">
        <f t="shared" si="68"/>
        <v>0</v>
      </c>
      <c r="AB236" s="12"/>
      <c r="AC236" s="12">
        <f t="shared" si="69"/>
        <v>0</v>
      </c>
      <c r="AD236" s="42"/>
      <c r="AE236" s="12"/>
    </row>
    <row r="237" spans="1:31" s="46" customFormat="1" ht="21">
      <c r="A237" s="42"/>
      <c r="B237" s="42"/>
      <c r="C237" s="45"/>
      <c r="D237" s="45"/>
      <c r="E237" s="45"/>
      <c r="F237" s="47"/>
      <c r="G237" s="42"/>
      <c r="H237" s="42"/>
      <c r="I237" s="44"/>
      <c r="J237" s="44">
        <f t="shared" si="87"/>
        <v>0</v>
      </c>
      <c r="K237" s="42"/>
      <c r="L237" s="42">
        <f t="shared" si="29"/>
        <v>0</v>
      </c>
      <c r="M237" s="42"/>
      <c r="N237" s="42"/>
      <c r="O237" s="42"/>
      <c r="P237" s="31"/>
      <c r="Q237" s="42"/>
      <c r="R237" s="42"/>
      <c r="S237" s="42"/>
      <c r="T237" s="12">
        <f t="shared" si="88"/>
        <v>0</v>
      </c>
      <c r="U237" s="45"/>
      <c r="V237" s="12">
        <f>+T237*0</f>
        <v>0</v>
      </c>
      <c r="W237" s="12">
        <f t="shared" si="89"/>
        <v>0</v>
      </c>
      <c r="X237" s="116"/>
      <c r="Y237" s="117">
        <f>+L237+W237</f>
        <v>0</v>
      </c>
      <c r="Z237" s="12"/>
      <c r="AA237" s="12">
        <f t="shared" si="68"/>
        <v>0</v>
      </c>
      <c r="AB237" s="12"/>
      <c r="AC237" s="12">
        <f t="shared" si="69"/>
        <v>0</v>
      </c>
      <c r="AD237" s="42"/>
      <c r="AE237" s="12"/>
    </row>
    <row r="238" spans="1:31" s="46" customFormat="1" ht="21">
      <c r="A238" s="42" t="s">
        <v>0</v>
      </c>
      <c r="B238" s="42" t="s">
        <v>1</v>
      </c>
      <c r="C238" s="45" t="s">
        <v>1066</v>
      </c>
      <c r="D238" s="45" t="s">
        <v>696</v>
      </c>
      <c r="E238" s="29" t="s">
        <v>907</v>
      </c>
      <c r="F238" s="47" t="s">
        <v>137</v>
      </c>
      <c r="G238" s="42"/>
      <c r="H238" s="42">
        <v>3</v>
      </c>
      <c r="I238" s="44">
        <v>55.7</v>
      </c>
      <c r="J238" s="44">
        <f aca="true" t="shared" si="90" ref="J238:J249">+I238+(H238*100)+(G238*400)</f>
        <v>355.7</v>
      </c>
      <c r="K238" s="42">
        <v>35000</v>
      </c>
      <c r="L238" s="42">
        <f t="shared" si="29"/>
        <v>12449500</v>
      </c>
      <c r="M238" s="42">
        <v>1</v>
      </c>
      <c r="N238" s="42" t="s">
        <v>60</v>
      </c>
      <c r="O238" s="101" t="s">
        <v>446</v>
      </c>
      <c r="P238" s="45">
        <v>2</v>
      </c>
      <c r="Q238" s="100">
        <v>70</v>
      </c>
      <c r="R238" s="100">
        <v>10.08</v>
      </c>
      <c r="S238" s="42">
        <v>7550</v>
      </c>
      <c r="T238" s="12">
        <f aca="true" t="shared" si="91" ref="T238:T249">+Q238*S238</f>
        <v>528500</v>
      </c>
      <c r="U238" s="102" t="s">
        <v>84</v>
      </c>
      <c r="V238" s="12">
        <f aca="true" t="shared" si="92" ref="V238:V244">+T238*0.2</f>
        <v>105700</v>
      </c>
      <c r="W238" s="12">
        <f aca="true" t="shared" si="93" ref="W238:W249">+T238-V238</f>
        <v>422800</v>
      </c>
      <c r="X238" s="116"/>
      <c r="Y238" s="117">
        <f>+L238*(R238/100)+W238</f>
        <v>1677709.6</v>
      </c>
      <c r="Z238" s="12"/>
      <c r="AA238" s="12">
        <f t="shared" si="68"/>
        <v>1677709.6</v>
      </c>
      <c r="AB238" s="12">
        <v>0.02</v>
      </c>
      <c r="AC238" s="12">
        <f t="shared" si="69"/>
        <v>335.54192</v>
      </c>
      <c r="AD238" s="42"/>
      <c r="AE238" s="12" t="e">
        <f>+AC238*#REF!/#REF!</f>
        <v>#REF!</v>
      </c>
    </row>
    <row r="239" spans="1:31" s="46" customFormat="1" ht="21">
      <c r="A239" s="42" t="s">
        <v>0</v>
      </c>
      <c r="B239" s="42"/>
      <c r="C239" s="45"/>
      <c r="D239" s="45"/>
      <c r="E239" s="45"/>
      <c r="F239" s="47"/>
      <c r="G239" s="42"/>
      <c r="H239" s="42"/>
      <c r="I239" s="44"/>
      <c r="J239" s="44">
        <f t="shared" si="90"/>
        <v>0</v>
      </c>
      <c r="K239" s="42"/>
      <c r="L239" s="42">
        <f>+K239*J239</f>
        <v>0</v>
      </c>
      <c r="M239" s="42">
        <v>2</v>
      </c>
      <c r="N239" s="42" t="s">
        <v>60</v>
      </c>
      <c r="O239" s="101" t="s">
        <v>446</v>
      </c>
      <c r="P239" s="45">
        <v>2</v>
      </c>
      <c r="Q239" s="100">
        <v>624</v>
      </c>
      <c r="R239" s="100">
        <v>89.92</v>
      </c>
      <c r="S239" s="42">
        <v>7550</v>
      </c>
      <c r="T239" s="12">
        <f t="shared" si="91"/>
        <v>4711200</v>
      </c>
      <c r="U239" s="102" t="s">
        <v>84</v>
      </c>
      <c r="V239" s="12">
        <f t="shared" si="92"/>
        <v>942240</v>
      </c>
      <c r="W239" s="12">
        <f t="shared" si="93"/>
        <v>3768960</v>
      </c>
      <c r="X239" s="116"/>
      <c r="Y239" s="117">
        <f>+L238*(R239/100)+W239</f>
        <v>14963550.4</v>
      </c>
      <c r="Z239" s="12">
        <f>+Y239</f>
        <v>14963550.4</v>
      </c>
      <c r="AA239" s="12">
        <f t="shared" si="68"/>
        <v>0</v>
      </c>
      <c r="AB239" s="12"/>
      <c r="AC239" s="12">
        <f t="shared" si="69"/>
        <v>0</v>
      </c>
      <c r="AD239" s="42" t="s">
        <v>906</v>
      </c>
      <c r="AE239" s="12" t="e">
        <f>+AC239*#REF!/#REF!</f>
        <v>#REF!</v>
      </c>
    </row>
    <row r="240" spans="1:31" s="46" customFormat="1" ht="21">
      <c r="A240" s="42" t="s">
        <v>0</v>
      </c>
      <c r="B240" s="42" t="s">
        <v>1</v>
      </c>
      <c r="C240" s="45" t="s">
        <v>1067</v>
      </c>
      <c r="D240" s="45" t="s">
        <v>697</v>
      </c>
      <c r="E240" s="29" t="s">
        <v>907</v>
      </c>
      <c r="F240" s="47" t="s">
        <v>167</v>
      </c>
      <c r="G240" s="42">
        <v>1</v>
      </c>
      <c r="H240" s="42">
        <v>2</v>
      </c>
      <c r="I240" s="44">
        <v>0</v>
      </c>
      <c r="J240" s="44">
        <f t="shared" si="90"/>
        <v>600</v>
      </c>
      <c r="K240" s="42">
        <v>40000</v>
      </c>
      <c r="L240" s="42">
        <f t="shared" si="29"/>
        <v>24000000</v>
      </c>
      <c r="M240" s="42">
        <v>1</v>
      </c>
      <c r="N240" s="42" t="s">
        <v>115</v>
      </c>
      <c r="O240" s="104" t="s">
        <v>446</v>
      </c>
      <c r="P240" s="45" t="s">
        <v>143</v>
      </c>
      <c r="Q240" s="100">
        <v>480</v>
      </c>
      <c r="R240" s="100">
        <v>28.36</v>
      </c>
      <c r="S240" s="42">
        <v>7300</v>
      </c>
      <c r="T240" s="12">
        <f t="shared" si="91"/>
        <v>3504000</v>
      </c>
      <c r="U240" s="102" t="s">
        <v>84</v>
      </c>
      <c r="V240" s="12">
        <f t="shared" si="92"/>
        <v>700800</v>
      </c>
      <c r="W240" s="12">
        <f t="shared" si="93"/>
        <v>2803200</v>
      </c>
      <c r="X240" s="116"/>
      <c r="Y240" s="117">
        <f>+L240*(R240/100)+W240</f>
        <v>9609600</v>
      </c>
      <c r="Z240" s="12"/>
      <c r="AA240" s="12">
        <f t="shared" si="68"/>
        <v>9609600</v>
      </c>
      <c r="AB240" s="12">
        <v>0.3</v>
      </c>
      <c r="AC240" s="12">
        <f t="shared" si="69"/>
        <v>28828.8</v>
      </c>
      <c r="AD240" s="12" t="s">
        <v>892</v>
      </c>
      <c r="AE240" s="12" t="e">
        <f>+AC240*#REF!/#REF!</f>
        <v>#REF!</v>
      </c>
    </row>
    <row r="241" spans="1:31" s="46" customFormat="1" ht="21">
      <c r="A241" s="42" t="s">
        <v>0</v>
      </c>
      <c r="B241" s="42"/>
      <c r="C241" s="45"/>
      <c r="D241" s="45"/>
      <c r="E241" s="45"/>
      <c r="F241" s="47"/>
      <c r="G241" s="42"/>
      <c r="H241" s="42"/>
      <c r="I241" s="44"/>
      <c r="J241" s="44">
        <f t="shared" si="90"/>
        <v>0</v>
      </c>
      <c r="K241" s="42"/>
      <c r="L241" s="42">
        <f aca="true" t="shared" si="94" ref="L241:L247">+K241*J241</f>
        <v>0</v>
      </c>
      <c r="M241" s="42">
        <v>2</v>
      </c>
      <c r="N241" s="42" t="s">
        <v>61</v>
      </c>
      <c r="O241" s="104" t="s">
        <v>446</v>
      </c>
      <c r="P241" s="45">
        <v>2</v>
      </c>
      <c r="Q241" s="100">
        <v>204</v>
      </c>
      <c r="R241" s="100">
        <v>12.08</v>
      </c>
      <c r="S241" s="42">
        <v>6650</v>
      </c>
      <c r="T241" s="12">
        <f t="shared" si="91"/>
        <v>1356600</v>
      </c>
      <c r="U241" s="102" t="s">
        <v>84</v>
      </c>
      <c r="V241" s="12">
        <f t="shared" si="92"/>
        <v>271320</v>
      </c>
      <c r="W241" s="12">
        <f t="shared" si="93"/>
        <v>1085280</v>
      </c>
      <c r="X241" s="116"/>
      <c r="Y241" s="117">
        <f>+L240*(R241/100)+W241</f>
        <v>3984480</v>
      </c>
      <c r="Z241" s="12"/>
      <c r="AA241" s="12">
        <f aca="true" t="shared" si="95" ref="AA241:AA247">+Y241-Z241</f>
        <v>3984480</v>
      </c>
      <c r="AB241" s="12">
        <v>0.02</v>
      </c>
      <c r="AC241" s="12">
        <f aca="true" t="shared" si="96" ref="AC241:AC249">+AA241*AB241/100</f>
        <v>796.8960000000001</v>
      </c>
      <c r="AD241" s="12" t="s">
        <v>893</v>
      </c>
      <c r="AE241" s="12" t="e">
        <f>+AC241*#REF!/#REF!</f>
        <v>#REF!</v>
      </c>
    </row>
    <row r="242" spans="1:31" s="46" customFormat="1" ht="21">
      <c r="A242" s="42" t="s">
        <v>0</v>
      </c>
      <c r="B242" s="42"/>
      <c r="C242" s="45"/>
      <c r="D242" s="45"/>
      <c r="E242" s="45"/>
      <c r="F242" s="47"/>
      <c r="G242" s="42"/>
      <c r="H242" s="42"/>
      <c r="I242" s="44"/>
      <c r="J242" s="44">
        <f>+I242+(H242*100)+(G242*400)</f>
        <v>0</v>
      </c>
      <c r="K242" s="42"/>
      <c r="L242" s="42">
        <f t="shared" si="94"/>
        <v>0</v>
      </c>
      <c r="M242" s="42">
        <v>3</v>
      </c>
      <c r="N242" s="42" t="s">
        <v>113</v>
      </c>
      <c r="O242" s="104" t="s">
        <v>446</v>
      </c>
      <c r="P242" s="45" t="s">
        <v>143</v>
      </c>
      <c r="Q242" s="104">
        <v>960</v>
      </c>
      <c r="R242" s="100">
        <v>56.73</v>
      </c>
      <c r="S242" s="42">
        <v>3300</v>
      </c>
      <c r="T242" s="12">
        <f>+Q242*S242</f>
        <v>3168000</v>
      </c>
      <c r="U242" s="45"/>
      <c r="V242" s="12">
        <f>+T242*0</f>
        <v>0</v>
      </c>
      <c r="W242" s="12">
        <f>+T242-V242</f>
        <v>3168000</v>
      </c>
      <c r="X242" s="116"/>
      <c r="Y242" s="117">
        <f>+L240*(R242/100)+W242</f>
        <v>16783200</v>
      </c>
      <c r="Z242" s="12"/>
      <c r="AA242" s="12">
        <f t="shared" si="95"/>
        <v>16783200</v>
      </c>
      <c r="AB242" s="12">
        <v>0.3</v>
      </c>
      <c r="AC242" s="12">
        <f t="shared" si="96"/>
        <v>50349.6</v>
      </c>
      <c r="AD242" s="42"/>
      <c r="AE242" s="12" t="e">
        <f>+AC242*#REF!/#REF!</f>
        <v>#REF!</v>
      </c>
    </row>
    <row r="243" spans="1:31" s="46" customFormat="1" ht="21">
      <c r="A243" s="42" t="s">
        <v>0</v>
      </c>
      <c r="B243" s="42"/>
      <c r="C243" s="45"/>
      <c r="D243" s="45"/>
      <c r="E243" s="45"/>
      <c r="F243" s="47"/>
      <c r="G243" s="42"/>
      <c r="H243" s="42"/>
      <c r="I243" s="44"/>
      <c r="J243" s="44">
        <f t="shared" si="90"/>
        <v>0</v>
      </c>
      <c r="K243" s="42"/>
      <c r="L243" s="42">
        <f t="shared" si="94"/>
        <v>0</v>
      </c>
      <c r="M243" s="42">
        <v>4</v>
      </c>
      <c r="N243" s="42" t="s">
        <v>64</v>
      </c>
      <c r="O243" s="104" t="s">
        <v>446</v>
      </c>
      <c r="P243" s="45" t="s">
        <v>143</v>
      </c>
      <c r="Q243" s="100">
        <v>48</v>
      </c>
      <c r="R243" s="100">
        <v>2.83</v>
      </c>
      <c r="S243" s="42">
        <v>6550</v>
      </c>
      <c r="T243" s="12">
        <f t="shared" si="91"/>
        <v>314400</v>
      </c>
      <c r="U243" s="102" t="s">
        <v>84</v>
      </c>
      <c r="V243" s="12">
        <f t="shared" si="92"/>
        <v>62880</v>
      </c>
      <c r="W243" s="12">
        <f t="shared" si="93"/>
        <v>251520</v>
      </c>
      <c r="X243" s="116"/>
      <c r="Y243" s="117">
        <f>+L240*(R243/100)+W243</f>
        <v>930720</v>
      </c>
      <c r="Z243" s="12"/>
      <c r="AA243" s="12">
        <f t="shared" si="95"/>
        <v>930720</v>
      </c>
      <c r="AB243" s="12">
        <v>0.3</v>
      </c>
      <c r="AC243" s="12">
        <f t="shared" si="96"/>
        <v>2792.16</v>
      </c>
      <c r="AD243" s="12" t="s">
        <v>894</v>
      </c>
      <c r="AE243" s="12" t="e">
        <f>+AC243*#REF!/#REF!</f>
        <v>#REF!</v>
      </c>
    </row>
    <row r="244" spans="1:31" s="46" customFormat="1" ht="21">
      <c r="A244" s="42" t="s">
        <v>0</v>
      </c>
      <c r="B244" s="42"/>
      <c r="C244" s="45"/>
      <c r="D244" s="45"/>
      <c r="E244" s="45"/>
      <c r="F244" s="47" t="s">
        <v>143</v>
      </c>
      <c r="G244" s="42"/>
      <c r="H244" s="42">
        <v>2</v>
      </c>
      <c r="I244" s="44"/>
      <c r="J244" s="44">
        <f t="shared" si="90"/>
        <v>200</v>
      </c>
      <c r="K244" s="42">
        <v>40000</v>
      </c>
      <c r="L244" s="42">
        <f t="shared" si="94"/>
        <v>8000000</v>
      </c>
      <c r="M244" s="42"/>
      <c r="N244" s="42" t="s">
        <v>64</v>
      </c>
      <c r="O244" s="104" t="s">
        <v>446</v>
      </c>
      <c r="P244" s="45" t="s">
        <v>143</v>
      </c>
      <c r="Q244" s="100">
        <v>150</v>
      </c>
      <c r="R244" s="100"/>
      <c r="S244" s="42">
        <v>6550</v>
      </c>
      <c r="T244" s="12">
        <f t="shared" si="91"/>
        <v>982500</v>
      </c>
      <c r="U244" s="102" t="s">
        <v>84</v>
      </c>
      <c r="V244" s="12">
        <f t="shared" si="92"/>
        <v>196500</v>
      </c>
      <c r="W244" s="12">
        <f t="shared" si="93"/>
        <v>786000</v>
      </c>
      <c r="X244" s="116"/>
      <c r="Y244" s="117">
        <f>+L244+W244</f>
        <v>8786000</v>
      </c>
      <c r="Z244" s="12"/>
      <c r="AA244" s="12">
        <f t="shared" si="95"/>
        <v>8786000</v>
      </c>
      <c r="AB244" s="12">
        <v>0.3</v>
      </c>
      <c r="AC244" s="12">
        <f t="shared" si="96"/>
        <v>26358</v>
      </c>
      <c r="AD244" s="12" t="s">
        <v>895</v>
      </c>
      <c r="AE244" s="12" t="e">
        <f>+AC244*#REF!/#REF!</f>
        <v>#REF!</v>
      </c>
    </row>
    <row r="245" spans="1:31" s="46" customFormat="1" ht="21">
      <c r="A245" s="42" t="s">
        <v>0</v>
      </c>
      <c r="B245" s="42"/>
      <c r="C245" s="45"/>
      <c r="D245" s="45"/>
      <c r="E245" s="45"/>
      <c r="F245" s="47" t="s">
        <v>137</v>
      </c>
      <c r="G245" s="42">
        <v>2</v>
      </c>
      <c r="H245" s="42">
        <v>3</v>
      </c>
      <c r="I245" s="44"/>
      <c r="J245" s="44">
        <f>+I245+(H245*100)+(G245*400)</f>
        <v>1100</v>
      </c>
      <c r="K245" s="42">
        <v>40000</v>
      </c>
      <c r="L245" s="42">
        <f t="shared" si="94"/>
        <v>44000000</v>
      </c>
      <c r="M245" s="42"/>
      <c r="N245" s="42" t="s">
        <v>64</v>
      </c>
      <c r="O245" s="104" t="s">
        <v>446</v>
      </c>
      <c r="P245" s="45">
        <v>2</v>
      </c>
      <c r="Q245" s="100">
        <v>289</v>
      </c>
      <c r="R245" s="100"/>
      <c r="S245" s="42">
        <v>6550</v>
      </c>
      <c r="T245" s="12">
        <f>+Q245*S245</f>
        <v>1892950</v>
      </c>
      <c r="U245" s="102" t="s">
        <v>84</v>
      </c>
      <c r="V245" s="12">
        <f>+T245*0.2</f>
        <v>378590</v>
      </c>
      <c r="W245" s="12">
        <f>+T245-V245</f>
        <v>1514360</v>
      </c>
      <c r="X245" s="116"/>
      <c r="Y245" s="117">
        <f>+L245+W245</f>
        <v>45514360</v>
      </c>
      <c r="Z245" s="12">
        <f>+Y245</f>
        <v>45514360</v>
      </c>
      <c r="AA245" s="12">
        <f t="shared" si="95"/>
        <v>0</v>
      </c>
      <c r="AB245" s="12"/>
      <c r="AC245" s="12">
        <f>+AA245*AB245/100</f>
        <v>0</v>
      </c>
      <c r="AD245" s="42" t="s">
        <v>906</v>
      </c>
      <c r="AE245" s="12" t="e">
        <f>+AC245*#REF!/#REF!</f>
        <v>#REF!</v>
      </c>
    </row>
    <row r="246" spans="1:31" s="46" customFormat="1" ht="21">
      <c r="A246" s="42" t="s">
        <v>0</v>
      </c>
      <c r="B246" s="42"/>
      <c r="C246" s="45"/>
      <c r="D246" s="45"/>
      <c r="E246" s="45"/>
      <c r="F246" s="47"/>
      <c r="G246" s="42"/>
      <c r="H246" s="42"/>
      <c r="I246" s="44"/>
      <c r="J246" s="44">
        <f>+I246+(H246*100)+(G246*400)</f>
        <v>0</v>
      </c>
      <c r="K246" s="42"/>
      <c r="L246" s="42">
        <f t="shared" si="94"/>
        <v>0</v>
      </c>
      <c r="M246" s="42"/>
      <c r="N246" s="42" t="s">
        <v>117</v>
      </c>
      <c r="O246" s="104" t="s">
        <v>446</v>
      </c>
      <c r="P246" s="45">
        <v>2</v>
      </c>
      <c r="Q246" s="104">
        <v>36</v>
      </c>
      <c r="R246" s="100"/>
      <c r="S246" s="42">
        <v>2500</v>
      </c>
      <c r="T246" s="12">
        <f>+Q246*S246</f>
        <v>90000</v>
      </c>
      <c r="U246" s="102" t="s">
        <v>84</v>
      </c>
      <c r="V246" s="12">
        <f>+T246*0.2</f>
        <v>18000</v>
      </c>
      <c r="W246" s="12">
        <f>+T246-V246</f>
        <v>72000</v>
      </c>
      <c r="X246" s="116"/>
      <c r="Y246" s="117">
        <f>+L246+W246</f>
        <v>72000</v>
      </c>
      <c r="Z246" s="12">
        <f>+Y246</f>
        <v>72000</v>
      </c>
      <c r="AA246" s="12">
        <f t="shared" si="95"/>
        <v>0</v>
      </c>
      <c r="AB246" s="12"/>
      <c r="AC246" s="12">
        <f>+AA246*AB246/100</f>
        <v>0</v>
      </c>
      <c r="AD246" s="42"/>
      <c r="AE246" s="12" t="e">
        <f>+AC246*#REF!/#REF!</f>
        <v>#REF!</v>
      </c>
    </row>
    <row r="247" spans="1:31" s="46" customFormat="1" ht="21">
      <c r="A247" s="42" t="s">
        <v>0</v>
      </c>
      <c r="B247" s="42"/>
      <c r="C247" s="45"/>
      <c r="D247" s="45"/>
      <c r="E247" s="45"/>
      <c r="F247" s="47" t="s">
        <v>143</v>
      </c>
      <c r="G247" s="42"/>
      <c r="H247" s="42"/>
      <c r="I247" s="44">
        <v>28</v>
      </c>
      <c r="J247" s="44">
        <f t="shared" si="90"/>
        <v>28</v>
      </c>
      <c r="K247" s="42">
        <v>40000</v>
      </c>
      <c r="L247" s="42">
        <f t="shared" si="94"/>
        <v>1120000</v>
      </c>
      <c r="M247" s="42"/>
      <c r="N247" s="42" t="s">
        <v>112</v>
      </c>
      <c r="O247" s="104" t="s">
        <v>446</v>
      </c>
      <c r="P247" s="45" t="s">
        <v>143</v>
      </c>
      <c r="Q247" s="104">
        <v>70</v>
      </c>
      <c r="R247" s="100"/>
      <c r="S247" s="42">
        <v>3500</v>
      </c>
      <c r="T247" s="12">
        <f t="shared" si="91"/>
        <v>245000</v>
      </c>
      <c r="U247" s="45" t="s">
        <v>193</v>
      </c>
      <c r="V247" s="12">
        <f>+T247*0.01</f>
        <v>2450</v>
      </c>
      <c r="W247" s="12">
        <f t="shared" si="93"/>
        <v>242550</v>
      </c>
      <c r="X247" s="116"/>
      <c r="Y247" s="117">
        <f>+L247+W247</f>
        <v>1362550</v>
      </c>
      <c r="Z247" s="12"/>
      <c r="AA247" s="12">
        <f t="shared" si="95"/>
        <v>1362550</v>
      </c>
      <c r="AB247" s="12">
        <v>0.3</v>
      </c>
      <c r="AC247" s="12">
        <f t="shared" si="96"/>
        <v>4087.65</v>
      </c>
      <c r="AD247" s="12" t="s">
        <v>896</v>
      </c>
      <c r="AE247" s="12" t="e">
        <f>+AC247*#REF!/#REF!</f>
        <v>#REF!</v>
      </c>
    </row>
    <row r="248" spans="1:31" s="46" customFormat="1" ht="21">
      <c r="A248" s="42" t="s">
        <v>0</v>
      </c>
      <c r="B248" s="42" t="s">
        <v>1</v>
      </c>
      <c r="C248" s="45" t="s">
        <v>1068</v>
      </c>
      <c r="D248" s="45" t="s">
        <v>698</v>
      </c>
      <c r="E248" s="29" t="s">
        <v>907</v>
      </c>
      <c r="F248" s="47" t="s">
        <v>177</v>
      </c>
      <c r="G248" s="42">
        <v>5</v>
      </c>
      <c r="H248" s="42">
        <v>2</v>
      </c>
      <c r="I248" s="44">
        <v>6.9</v>
      </c>
      <c r="J248" s="44">
        <f t="shared" si="90"/>
        <v>2206.9</v>
      </c>
      <c r="K248" s="42">
        <v>4000</v>
      </c>
      <c r="L248" s="42">
        <f t="shared" si="29"/>
        <v>8827600</v>
      </c>
      <c r="M248" s="42"/>
      <c r="N248" s="42"/>
      <c r="O248" s="42"/>
      <c r="P248" s="31"/>
      <c r="Q248" s="42"/>
      <c r="R248" s="100"/>
      <c r="S248" s="42"/>
      <c r="T248" s="12">
        <f t="shared" si="91"/>
        <v>0</v>
      </c>
      <c r="U248" s="45"/>
      <c r="V248" s="12">
        <f>+T248*0</f>
        <v>0</v>
      </c>
      <c r="W248" s="12">
        <f t="shared" si="93"/>
        <v>0</v>
      </c>
      <c r="X248" s="116"/>
      <c r="Y248" s="117">
        <f aca="true" t="shared" si="97" ref="Y248:Y261">+L248+W248</f>
        <v>8827600</v>
      </c>
      <c r="Z248" s="12">
        <f>+Y248</f>
        <v>8827600</v>
      </c>
      <c r="AA248" s="12">
        <f aca="true" t="shared" si="98" ref="AA248:AA273">+Y248-Z248</f>
        <v>0</v>
      </c>
      <c r="AB248" s="12"/>
      <c r="AC248" s="12">
        <f t="shared" si="96"/>
        <v>0</v>
      </c>
      <c r="AD248" s="42"/>
      <c r="AE248" s="12"/>
    </row>
    <row r="249" spans="1:31" s="46" customFormat="1" ht="21">
      <c r="A249" s="42" t="s">
        <v>0</v>
      </c>
      <c r="B249" s="42" t="s">
        <v>1</v>
      </c>
      <c r="C249" s="45" t="s">
        <v>1069</v>
      </c>
      <c r="D249" s="45" t="s">
        <v>699</v>
      </c>
      <c r="E249" s="29" t="s">
        <v>907</v>
      </c>
      <c r="F249" s="47" t="s">
        <v>177</v>
      </c>
      <c r="G249" s="42">
        <v>3</v>
      </c>
      <c r="H249" s="42">
        <v>3</v>
      </c>
      <c r="I249" s="44">
        <v>18.7</v>
      </c>
      <c r="J249" s="44">
        <f t="shared" si="90"/>
        <v>1518.7</v>
      </c>
      <c r="K249" s="42">
        <v>7500</v>
      </c>
      <c r="L249" s="42">
        <f t="shared" si="29"/>
        <v>11390250</v>
      </c>
      <c r="M249" s="42"/>
      <c r="N249" s="42"/>
      <c r="O249" s="42"/>
      <c r="P249" s="31"/>
      <c r="Q249" s="42"/>
      <c r="R249" s="100"/>
      <c r="S249" s="42"/>
      <c r="T249" s="12">
        <f t="shared" si="91"/>
        <v>0</v>
      </c>
      <c r="U249" s="45"/>
      <c r="V249" s="12">
        <f>+T249*0</f>
        <v>0</v>
      </c>
      <c r="W249" s="12">
        <f t="shared" si="93"/>
        <v>0</v>
      </c>
      <c r="X249" s="116"/>
      <c r="Y249" s="117">
        <f t="shared" si="97"/>
        <v>11390250</v>
      </c>
      <c r="Z249" s="12">
        <f>+Y249</f>
        <v>11390250</v>
      </c>
      <c r="AA249" s="12">
        <f t="shared" si="98"/>
        <v>0</v>
      </c>
      <c r="AB249" s="12"/>
      <c r="AC249" s="12">
        <f t="shared" si="96"/>
        <v>0</v>
      </c>
      <c r="AD249" s="42"/>
      <c r="AE249" s="12"/>
    </row>
    <row r="250" spans="1:31" s="46" customFormat="1" ht="21">
      <c r="A250" s="42" t="s">
        <v>0</v>
      </c>
      <c r="B250" s="42" t="s">
        <v>1</v>
      </c>
      <c r="C250" s="45" t="s">
        <v>1070</v>
      </c>
      <c r="D250" s="51" t="s">
        <v>700</v>
      </c>
      <c r="E250" s="10" t="s">
        <v>909</v>
      </c>
      <c r="F250" s="47" t="s">
        <v>140</v>
      </c>
      <c r="G250" s="42"/>
      <c r="H250" s="42"/>
      <c r="I250" s="44">
        <v>24</v>
      </c>
      <c r="J250" s="44">
        <f aca="true" t="shared" si="99" ref="J250:J260">+I250+(H250*100)+(G250*400)</f>
        <v>24</v>
      </c>
      <c r="K250" s="42">
        <v>12000</v>
      </c>
      <c r="L250" s="42">
        <f t="shared" si="29"/>
        <v>288000</v>
      </c>
      <c r="M250" s="42"/>
      <c r="N250" s="42"/>
      <c r="O250" s="100"/>
      <c r="P250" s="45"/>
      <c r="Q250" s="100"/>
      <c r="R250" s="100"/>
      <c r="S250" s="42"/>
      <c r="T250" s="12">
        <f aca="true" t="shared" si="100" ref="T250:T260">+Q250*S250</f>
        <v>0</v>
      </c>
      <c r="U250" s="45"/>
      <c r="V250" s="12">
        <f>+T250*0</f>
        <v>0</v>
      </c>
      <c r="W250" s="12">
        <f aca="true" t="shared" si="101" ref="W250:W260">+T250-V250</f>
        <v>0</v>
      </c>
      <c r="X250" s="116"/>
      <c r="Y250" s="117">
        <f t="shared" si="97"/>
        <v>288000</v>
      </c>
      <c r="Z250" s="12"/>
      <c r="AA250" s="12">
        <f t="shared" si="98"/>
        <v>288000</v>
      </c>
      <c r="AB250" s="12">
        <v>0.3</v>
      </c>
      <c r="AC250" s="12">
        <f aca="true" t="shared" si="102" ref="AC250:AC260">+AA250*AB250/100</f>
        <v>864</v>
      </c>
      <c r="AD250" s="42"/>
      <c r="AE250" s="12"/>
    </row>
    <row r="251" spans="1:31" s="46" customFormat="1" ht="21">
      <c r="A251" s="42" t="s">
        <v>0</v>
      </c>
      <c r="B251" s="42" t="s">
        <v>1</v>
      </c>
      <c r="C251" s="45" t="s">
        <v>1071</v>
      </c>
      <c r="D251" s="45" t="s">
        <v>701</v>
      </c>
      <c r="E251" s="29" t="s">
        <v>907</v>
      </c>
      <c r="F251" s="47" t="s">
        <v>137</v>
      </c>
      <c r="G251" s="42"/>
      <c r="H251" s="42"/>
      <c r="I251" s="44">
        <v>54</v>
      </c>
      <c r="J251" s="44">
        <f t="shared" si="99"/>
        <v>54</v>
      </c>
      <c r="K251" s="42">
        <v>15000</v>
      </c>
      <c r="L251" s="42">
        <f t="shared" si="29"/>
        <v>810000</v>
      </c>
      <c r="M251" s="42"/>
      <c r="N251" s="42" t="s">
        <v>64</v>
      </c>
      <c r="O251" s="101" t="s">
        <v>446</v>
      </c>
      <c r="P251" s="45">
        <v>2</v>
      </c>
      <c r="Q251" s="100">
        <v>159.5</v>
      </c>
      <c r="R251" s="100"/>
      <c r="S251" s="42">
        <v>6550</v>
      </c>
      <c r="T251" s="12">
        <f t="shared" si="100"/>
        <v>1044725</v>
      </c>
      <c r="U251" s="102" t="s">
        <v>84</v>
      </c>
      <c r="V251" s="12">
        <f>+T251*0.2</f>
        <v>208945</v>
      </c>
      <c r="W251" s="12">
        <f t="shared" si="101"/>
        <v>835780</v>
      </c>
      <c r="X251" s="116"/>
      <c r="Y251" s="117">
        <f t="shared" si="97"/>
        <v>1645780</v>
      </c>
      <c r="Z251" s="12"/>
      <c r="AA251" s="12">
        <f t="shared" si="98"/>
        <v>1645780</v>
      </c>
      <c r="AB251" s="12">
        <v>0.02</v>
      </c>
      <c r="AC251" s="12">
        <f t="shared" si="102"/>
        <v>329.156</v>
      </c>
      <c r="AD251" s="42"/>
      <c r="AE251" s="12"/>
    </row>
    <row r="252" spans="1:31" s="46" customFormat="1" ht="21">
      <c r="A252" s="42" t="s">
        <v>0</v>
      </c>
      <c r="B252" s="42" t="s">
        <v>1</v>
      </c>
      <c r="C252" s="45" t="s">
        <v>1072</v>
      </c>
      <c r="D252" s="45" t="s">
        <v>702</v>
      </c>
      <c r="E252" s="29" t="s">
        <v>907</v>
      </c>
      <c r="F252" s="47" t="s">
        <v>137</v>
      </c>
      <c r="G252" s="42"/>
      <c r="H252" s="42"/>
      <c r="I252" s="44">
        <v>54</v>
      </c>
      <c r="J252" s="44">
        <f t="shared" si="99"/>
        <v>54</v>
      </c>
      <c r="K252" s="42">
        <v>15000</v>
      </c>
      <c r="L252" s="42">
        <f t="shared" si="29"/>
        <v>810000</v>
      </c>
      <c r="M252" s="42"/>
      <c r="N252" s="42" t="s">
        <v>64</v>
      </c>
      <c r="O252" s="101" t="s">
        <v>446</v>
      </c>
      <c r="P252" s="45">
        <v>2</v>
      </c>
      <c r="Q252" s="100">
        <v>130.2</v>
      </c>
      <c r="R252" s="100"/>
      <c r="S252" s="42">
        <v>6550</v>
      </c>
      <c r="T252" s="12">
        <f t="shared" si="100"/>
        <v>852809.9999999999</v>
      </c>
      <c r="U252" s="102" t="s">
        <v>74</v>
      </c>
      <c r="V252" s="12">
        <f>+T252*0.36</f>
        <v>307011.5999999999</v>
      </c>
      <c r="W252" s="12">
        <f t="shared" si="101"/>
        <v>545798.3999999999</v>
      </c>
      <c r="X252" s="116"/>
      <c r="Y252" s="117">
        <f t="shared" si="97"/>
        <v>1355798.4</v>
      </c>
      <c r="Z252" s="12"/>
      <c r="AA252" s="12">
        <f t="shared" si="98"/>
        <v>1355798.4</v>
      </c>
      <c r="AB252" s="12">
        <v>0.02</v>
      </c>
      <c r="AC252" s="12">
        <f t="shared" si="102"/>
        <v>271.15968</v>
      </c>
      <c r="AD252" s="42"/>
      <c r="AE252" s="12"/>
    </row>
    <row r="253" spans="1:31" s="46" customFormat="1" ht="21">
      <c r="A253" s="42"/>
      <c r="B253" s="42"/>
      <c r="C253" s="45"/>
      <c r="D253" s="45"/>
      <c r="E253" s="45"/>
      <c r="F253" s="47"/>
      <c r="G253" s="42"/>
      <c r="H253" s="42"/>
      <c r="I253" s="44"/>
      <c r="J253" s="44">
        <f t="shared" si="99"/>
        <v>0</v>
      </c>
      <c r="K253" s="42"/>
      <c r="L253" s="42">
        <f t="shared" si="29"/>
        <v>0</v>
      </c>
      <c r="M253" s="42"/>
      <c r="N253" s="42"/>
      <c r="O253" s="42"/>
      <c r="P253" s="31"/>
      <c r="Q253" s="42"/>
      <c r="R253" s="42"/>
      <c r="S253" s="42"/>
      <c r="T253" s="12">
        <f t="shared" si="100"/>
        <v>0</v>
      </c>
      <c r="U253" s="45"/>
      <c r="V253" s="12">
        <f aca="true" t="shared" si="103" ref="V253:V260">+T253*0</f>
        <v>0</v>
      </c>
      <c r="W253" s="12">
        <f t="shared" si="101"/>
        <v>0</v>
      </c>
      <c r="X253" s="116"/>
      <c r="Y253" s="117">
        <f t="shared" si="97"/>
        <v>0</v>
      </c>
      <c r="Z253" s="12"/>
      <c r="AA253" s="12">
        <f t="shared" si="98"/>
        <v>0</v>
      </c>
      <c r="AB253" s="12"/>
      <c r="AC253" s="12">
        <f t="shared" si="102"/>
        <v>0</v>
      </c>
      <c r="AD253" s="42"/>
      <c r="AE253" s="12"/>
    </row>
    <row r="254" spans="1:31" s="46" customFormat="1" ht="21">
      <c r="A254" s="42"/>
      <c r="B254" s="42"/>
      <c r="C254" s="45"/>
      <c r="D254" s="45"/>
      <c r="E254" s="45"/>
      <c r="F254" s="47"/>
      <c r="G254" s="42"/>
      <c r="H254" s="42"/>
      <c r="I254" s="44"/>
      <c r="J254" s="44">
        <f t="shared" si="99"/>
        <v>0</v>
      </c>
      <c r="K254" s="42"/>
      <c r="L254" s="42">
        <f t="shared" si="29"/>
        <v>0</v>
      </c>
      <c r="M254" s="42"/>
      <c r="N254" s="42"/>
      <c r="O254" s="42"/>
      <c r="P254" s="31"/>
      <c r="Q254" s="42"/>
      <c r="R254" s="42"/>
      <c r="S254" s="42"/>
      <c r="T254" s="12">
        <f t="shared" si="100"/>
        <v>0</v>
      </c>
      <c r="U254" s="45"/>
      <c r="V254" s="12">
        <f t="shared" si="103"/>
        <v>0</v>
      </c>
      <c r="W254" s="12">
        <f t="shared" si="101"/>
        <v>0</v>
      </c>
      <c r="X254" s="116"/>
      <c r="Y254" s="117">
        <f t="shared" si="97"/>
        <v>0</v>
      </c>
      <c r="Z254" s="12"/>
      <c r="AA254" s="12">
        <f t="shared" si="98"/>
        <v>0</v>
      </c>
      <c r="AB254" s="12"/>
      <c r="AC254" s="12">
        <f t="shared" si="102"/>
        <v>0</v>
      </c>
      <c r="AD254" s="42"/>
      <c r="AE254" s="12"/>
    </row>
    <row r="255" spans="1:31" s="46" customFormat="1" ht="21">
      <c r="A255" s="42" t="s">
        <v>0</v>
      </c>
      <c r="B255" s="42" t="s">
        <v>1</v>
      </c>
      <c r="C255" s="45" t="s">
        <v>1073</v>
      </c>
      <c r="D255" s="45" t="s">
        <v>703</v>
      </c>
      <c r="E255" s="10" t="s">
        <v>909</v>
      </c>
      <c r="F255" s="47" t="s">
        <v>140</v>
      </c>
      <c r="G255" s="42"/>
      <c r="H255" s="42"/>
      <c r="I255" s="44">
        <v>50</v>
      </c>
      <c r="J255" s="44">
        <f t="shared" si="99"/>
        <v>50</v>
      </c>
      <c r="K255" s="42">
        <v>8000</v>
      </c>
      <c r="L255" s="42">
        <f t="shared" si="29"/>
        <v>400000</v>
      </c>
      <c r="M255" s="42"/>
      <c r="N255" s="42"/>
      <c r="O255" s="100"/>
      <c r="P255" s="45"/>
      <c r="Q255" s="100"/>
      <c r="R255" s="100"/>
      <c r="S255" s="42"/>
      <c r="T255" s="12">
        <f t="shared" si="100"/>
        <v>0</v>
      </c>
      <c r="U255" s="45"/>
      <c r="V255" s="12">
        <f t="shared" si="103"/>
        <v>0</v>
      </c>
      <c r="W255" s="12">
        <f t="shared" si="101"/>
        <v>0</v>
      </c>
      <c r="X255" s="116"/>
      <c r="Y255" s="117">
        <f t="shared" si="97"/>
        <v>400000</v>
      </c>
      <c r="Z255" s="12"/>
      <c r="AA255" s="12">
        <f t="shared" si="98"/>
        <v>400000</v>
      </c>
      <c r="AB255" s="12">
        <v>0.3</v>
      </c>
      <c r="AC255" s="12">
        <f t="shared" si="102"/>
        <v>1200</v>
      </c>
      <c r="AD255" s="42"/>
      <c r="AE255" s="12"/>
    </row>
    <row r="256" spans="1:31" s="46" customFormat="1" ht="21">
      <c r="A256" s="42" t="s">
        <v>0</v>
      </c>
      <c r="B256" s="42" t="s">
        <v>1</v>
      </c>
      <c r="C256" s="45" t="s">
        <v>1074</v>
      </c>
      <c r="D256" s="45" t="s">
        <v>704</v>
      </c>
      <c r="E256" s="10" t="s">
        <v>909</v>
      </c>
      <c r="F256" s="47" t="s">
        <v>140</v>
      </c>
      <c r="G256" s="42"/>
      <c r="H256" s="42"/>
      <c r="I256" s="44">
        <v>50</v>
      </c>
      <c r="J256" s="44">
        <f t="shared" si="99"/>
        <v>50</v>
      </c>
      <c r="K256" s="42">
        <v>8000</v>
      </c>
      <c r="L256" s="42">
        <f t="shared" si="29"/>
        <v>400000</v>
      </c>
      <c r="M256" s="42"/>
      <c r="N256" s="42"/>
      <c r="O256" s="100"/>
      <c r="P256" s="45"/>
      <c r="Q256" s="100"/>
      <c r="R256" s="100"/>
      <c r="S256" s="42"/>
      <c r="T256" s="12">
        <f t="shared" si="100"/>
        <v>0</v>
      </c>
      <c r="U256" s="45"/>
      <c r="V256" s="12">
        <f t="shared" si="103"/>
        <v>0</v>
      </c>
      <c r="W256" s="12">
        <f t="shared" si="101"/>
        <v>0</v>
      </c>
      <c r="X256" s="116"/>
      <c r="Y256" s="117">
        <f t="shared" si="97"/>
        <v>400000</v>
      </c>
      <c r="Z256" s="12"/>
      <c r="AA256" s="12">
        <f t="shared" si="98"/>
        <v>400000</v>
      </c>
      <c r="AB256" s="12">
        <v>0.3</v>
      </c>
      <c r="AC256" s="12">
        <f t="shared" si="102"/>
        <v>1200</v>
      </c>
      <c r="AD256" s="42"/>
      <c r="AE256" s="12"/>
    </row>
    <row r="257" spans="1:31" s="46" customFormat="1" ht="21">
      <c r="A257" s="42" t="s">
        <v>0</v>
      </c>
      <c r="B257" s="42" t="s">
        <v>1</v>
      </c>
      <c r="C257" s="45" t="s">
        <v>1075</v>
      </c>
      <c r="D257" s="51" t="s">
        <v>705</v>
      </c>
      <c r="E257" s="29" t="s">
        <v>907</v>
      </c>
      <c r="F257" s="47" t="s">
        <v>140</v>
      </c>
      <c r="G257" s="42"/>
      <c r="H257" s="42"/>
      <c r="I257" s="44">
        <v>50</v>
      </c>
      <c r="J257" s="44">
        <f t="shared" si="99"/>
        <v>50</v>
      </c>
      <c r="K257" s="42">
        <v>6000</v>
      </c>
      <c r="L257" s="42">
        <f t="shared" si="29"/>
        <v>300000</v>
      </c>
      <c r="M257" s="42"/>
      <c r="N257" s="42"/>
      <c r="O257" s="100"/>
      <c r="P257" s="45"/>
      <c r="Q257" s="100"/>
      <c r="R257" s="100"/>
      <c r="S257" s="42"/>
      <c r="T257" s="12">
        <f t="shared" si="100"/>
        <v>0</v>
      </c>
      <c r="U257" s="45"/>
      <c r="V257" s="12">
        <f t="shared" si="103"/>
        <v>0</v>
      </c>
      <c r="W257" s="12">
        <f t="shared" si="101"/>
        <v>0</v>
      </c>
      <c r="X257" s="116"/>
      <c r="Y257" s="117">
        <f t="shared" si="97"/>
        <v>300000</v>
      </c>
      <c r="Z257" s="12"/>
      <c r="AA257" s="12">
        <f t="shared" si="98"/>
        <v>300000</v>
      </c>
      <c r="AB257" s="12">
        <v>0.3</v>
      </c>
      <c r="AC257" s="12">
        <f t="shared" si="102"/>
        <v>900</v>
      </c>
      <c r="AD257" s="42"/>
      <c r="AE257" s="12"/>
    </row>
    <row r="258" spans="1:31" s="46" customFormat="1" ht="21">
      <c r="A258" s="42"/>
      <c r="B258" s="42"/>
      <c r="C258" s="45"/>
      <c r="D258" s="45"/>
      <c r="E258" s="45"/>
      <c r="F258" s="47"/>
      <c r="G258" s="42"/>
      <c r="H258" s="42"/>
      <c r="I258" s="44"/>
      <c r="J258" s="44">
        <f t="shared" si="99"/>
        <v>0</v>
      </c>
      <c r="K258" s="42"/>
      <c r="L258" s="42">
        <f t="shared" si="29"/>
        <v>0</v>
      </c>
      <c r="M258" s="42"/>
      <c r="N258" s="42"/>
      <c r="O258" s="42"/>
      <c r="P258" s="31"/>
      <c r="Q258" s="42"/>
      <c r="R258" s="42"/>
      <c r="S258" s="42"/>
      <c r="T258" s="12">
        <f t="shared" si="100"/>
        <v>0</v>
      </c>
      <c r="U258" s="45"/>
      <c r="V258" s="12">
        <f t="shared" si="103"/>
        <v>0</v>
      </c>
      <c r="W258" s="12">
        <f t="shared" si="101"/>
        <v>0</v>
      </c>
      <c r="X258" s="116"/>
      <c r="Y258" s="117">
        <f t="shared" si="97"/>
        <v>0</v>
      </c>
      <c r="Z258" s="12"/>
      <c r="AA258" s="12">
        <f t="shared" si="98"/>
        <v>0</v>
      </c>
      <c r="AB258" s="12"/>
      <c r="AC258" s="12">
        <f t="shared" si="102"/>
        <v>0</v>
      </c>
      <c r="AD258" s="42"/>
      <c r="AE258" s="12"/>
    </row>
    <row r="259" spans="1:31" s="46" customFormat="1" ht="21">
      <c r="A259" s="42" t="s">
        <v>0</v>
      </c>
      <c r="B259" s="42" t="s">
        <v>1</v>
      </c>
      <c r="C259" s="45" t="s">
        <v>1076</v>
      </c>
      <c r="D259" s="51" t="s">
        <v>706</v>
      </c>
      <c r="E259" s="10" t="s">
        <v>909</v>
      </c>
      <c r="F259" s="47" t="s">
        <v>140</v>
      </c>
      <c r="G259" s="42"/>
      <c r="H259" s="42">
        <v>1</v>
      </c>
      <c r="I259" s="44">
        <v>18.5</v>
      </c>
      <c r="J259" s="44">
        <f t="shared" si="99"/>
        <v>118.5</v>
      </c>
      <c r="K259" s="42">
        <v>1500</v>
      </c>
      <c r="L259" s="42">
        <f t="shared" si="29"/>
        <v>177750</v>
      </c>
      <c r="M259" s="42"/>
      <c r="N259" s="42"/>
      <c r="O259" s="100"/>
      <c r="P259" s="45"/>
      <c r="Q259" s="100"/>
      <c r="R259" s="100"/>
      <c r="S259" s="42"/>
      <c r="T259" s="12">
        <f t="shared" si="100"/>
        <v>0</v>
      </c>
      <c r="U259" s="45"/>
      <c r="V259" s="12">
        <f t="shared" si="103"/>
        <v>0</v>
      </c>
      <c r="W259" s="12">
        <f t="shared" si="101"/>
        <v>0</v>
      </c>
      <c r="X259" s="116"/>
      <c r="Y259" s="117">
        <f t="shared" si="97"/>
        <v>177750</v>
      </c>
      <c r="Z259" s="12"/>
      <c r="AA259" s="12">
        <f t="shared" si="98"/>
        <v>177750</v>
      </c>
      <c r="AB259" s="12">
        <v>0.3</v>
      </c>
      <c r="AC259" s="12">
        <f t="shared" si="102"/>
        <v>533.25</v>
      </c>
      <c r="AD259" s="42"/>
      <c r="AE259" s="12"/>
    </row>
    <row r="260" spans="1:31" s="46" customFormat="1" ht="21">
      <c r="A260" s="42"/>
      <c r="B260" s="42"/>
      <c r="C260" s="45"/>
      <c r="D260" s="45"/>
      <c r="E260" s="45"/>
      <c r="F260" s="47"/>
      <c r="G260" s="42"/>
      <c r="H260" s="42"/>
      <c r="I260" s="44"/>
      <c r="J260" s="44">
        <f t="shared" si="99"/>
        <v>0</v>
      </c>
      <c r="K260" s="42"/>
      <c r="L260" s="42">
        <f t="shared" si="29"/>
        <v>0</v>
      </c>
      <c r="M260" s="42"/>
      <c r="N260" s="42"/>
      <c r="O260" s="42"/>
      <c r="P260" s="31"/>
      <c r="Q260" s="42"/>
      <c r="R260" s="42"/>
      <c r="S260" s="42"/>
      <c r="T260" s="12">
        <f t="shared" si="100"/>
        <v>0</v>
      </c>
      <c r="U260" s="45"/>
      <c r="V260" s="12">
        <f t="shared" si="103"/>
        <v>0</v>
      </c>
      <c r="W260" s="12">
        <f t="shared" si="101"/>
        <v>0</v>
      </c>
      <c r="X260" s="116"/>
      <c r="Y260" s="117">
        <f t="shared" si="97"/>
        <v>0</v>
      </c>
      <c r="Z260" s="12"/>
      <c r="AA260" s="12">
        <f t="shared" si="98"/>
        <v>0</v>
      </c>
      <c r="AB260" s="12"/>
      <c r="AC260" s="12">
        <f t="shared" si="102"/>
        <v>0</v>
      </c>
      <c r="AD260" s="42"/>
      <c r="AE260" s="12"/>
    </row>
    <row r="261" spans="1:31" s="46" customFormat="1" ht="21">
      <c r="A261" s="42" t="s">
        <v>0</v>
      </c>
      <c r="B261" s="42" t="s">
        <v>1</v>
      </c>
      <c r="C261" s="45" t="s">
        <v>1077</v>
      </c>
      <c r="D261" s="51" t="s">
        <v>707</v>
      </c>
      <c r="E261" s="29" t="s">
        <v>907</v>
      </c>
      <c r="F261" s="47" t="s">
        <v>143</v>
      </c>
      <c r="G261" s="42"/>
      <c r="H261" s="42">
        <v>2</v>
      </c>
      <c r="I261" s="44">
        <v>85</v>
      </c>
      <c r="J261" s="44">
        <f aca="true" t="shared" si="104" ref="J261:J268">+I261+(H261*100)+(G261*400)</f>
        <v>285</v>
      </c>
      <c r="K261" s="42">
        <v>12000</v>
      </c>
      <c r="L261" s="42">
        <f t="shared" si="29"/>
        <v>3420000</v>
      </c>
      <c r="M261" s="42"/>
      <c r="N261" s="111" t="s">
        <v>119</v>
      </c>
      <c r="O261" s="101" t="s">
        <v>446</v>
      </c>
      <c r="P261" s="45" t="s">
        <v>143</v>
      </c>
      <c r="Q261" s="111">
        <f>10.98*21</f>
        <v>230.58</v>
      </c>
      <c r="R261" s="132"/>
      <c r="S261" s="42">
        <v>9600</v>
      </c>
      <c r="T261" s="12">
        <f aca="true" t="shared" si="105" ref="T261:T268">+Q261*S261</f>
        <v>2213568</v>
      </c>
      <c r="U261" s="45" t="s">
        <v>337</v>
      </c>
      <c r="V261" s="12">
        <f>+T261*0.06</f>
        <v>132814.08</v>
      </c>
      <c r="W261" s="12">
        <f aca="true" t="shared" si="106" ref="W261:W268">+T261-V261</f>
        <v>2080753.92</v>
      </c>
      <c r="X261" s="116"/>
      <c r="Y261" s="117">
        <f t="shared" si="97"/>
        <v>5500753.92</v>
      </c>
      <c r="Z261" s="12"/>
      <c r="AA261" s="12">
        <f t="shared" si="98"/>
        <v>5500753.92</v>
      </c>
      <c r="AB261" s="12">
        <v>0.3</v>
      </c>
      <c r="AC261" s="12">
        <f aca="true" t="shared" si="107" ref="AC261:AC268">+AA261*AB261/100</f>
        <v>16502.26176</v>
      </c>
      <c r="AD261" s="42"/>
      <c r="AE261" s="12"/>
    </row>
    <row r="262" spans="1:31" s="46" customFormat="1" ht="21">
      <c r="A262" s="42" t="s">
        <v>0</v>
      </c>
      <c r="B262" s="42" t="s">
        <v>1</v>
      </c>
      <c r="C262" s="45" t="s">
        <v>1078</v>
      </c>
      <c r="D262" s="45" t="s">
        <v>708</v>
      </c>
      <c r="E262" s="29" t="s">
        <v>907</v>
      </c>
      <c r="F262" s="47" t="s">
        <v>167</v>
      </c>
      <c r="G262" s="42"/>
      <c r="H262" s="42"/>
      <c r="I262" s="44">
        <v>50.1</v>
      </c>
      <c r="J262" s="44">
        <f t="shared" si="104"/>
        <v>50.1</v>
      </c>
      <c r="K262" s="42">
        <v>12000</v>
      </c>
      <c r="L262" s="42">
        <f t="shared" si="29"/>
        <v>601200</v>
      </c>
      <c r="M262" s="42">
        <v>1</v>
      </c>
      <c r="N262" s="111" t="s">
        <v>119</v>
      </c>
      <c r="O262" s="101" t="s">
        <v>446</v>
      </c>
      <c r="P262" s="45" t="s">
        <v>143</v>
      </c>
      <c r="Q262" s="112">
        <f>14.4*3</f>
        <v>43.2</v>
      </c>
      <c r="R262" s="100">
        <v>8.13</v>
      </c>
      <c r="S262" s="42">
        <v>9600</v>
      </c>
      <c r="T262" s="12">
        <f t="shared" si="105"/>
        <v>414720</v>
      </c>
      <c r="U262" s="45" t="s">
        <v>337</v>
      </c>
      <c r="V262" s="12">
        <f>+T262*0.06</f>
        <v>24883.2</v>
      </c>
      <c r="W262" s="12">
        <f t="shared" si="106"/>
        <v>389836.8</v>
      </c>
      <c r="X262" s="116"/>
      <c r="Y262" s="117">
        <f>+L262*(R262/100)+W262</f>
        <v>438714.36</v>
      </c>
      <c r="Z262" s="12"/>
      <c r="AA262" s="12">
        <f t="shared" si="98"/>
        <v>438714.36</v>
      </c>
      <c r="AB262" s="12">
        <v>0.3</v>
      </c>
      <c r="AC262" s="12">
        <f t="shared" si="107"/>
        <v>1316.1430799999998</v>
      </c>
      <c r="AD262" s="42"/>
      <c r="AE262" s="12"/>
    </row>
    <row r="263" spans="1:31" s="46" customFormat="1" ht="21">
      <c r="A263" s="42" t="s">
        <v>0</v>
      </c>
      <c r="B263" s="42"/>
      <c r="C263" s="45"/>
      <c r="D263" s="45"/>
      <c r="E263" s="29"/>
      <c r="F263" s="47"/>
      <c r="G263" s="42"/>
      <c r="H263" s="42"/>
      <c r="I263" s="44"/>
      <c r="J263" s="44">
        <f t="shared" si="104"/>
        <v>0</v>
      </c>
      <c r="K263" s="42"/>
      <c r="L263" s="42">
        <f>+K263*J263</f>
        <v>0</v>
      </c>
      <c r="M263" s="42">
        <v>2</v>
      </c>
      <c r="N263" s="42" t="s">
        <v>64</v>
      </c>
      <c r="O263" s="101" t="s">
        <v>446</v>
      </c>
      <c r="P263" s="45" t="s">
        <v>143</v>
      </c>
      <c r="Q263" s="100">
        <v>200</v>
      </c>
      <c r="R263" s="100">
        <v>37.65</v>
      </c>
      <c r="S263" s="42">
        <v>6550</v>
      </c>
      <c r="T263" s="12">
        <f t="shared" si="105"/>
        <v>1310000</v>
      </c>
      <c r="U263" s="45" t="s">
        <v>337</v>
      </c>
      <c r="V263" s="12">
        <f>+T263*0.06</f>
        <v>78600</v>
      </c>
      <c r="W263" s="12">
        <f t="shared" si="106"/>
        <v>1231400</v>
      </c>
      <c r="X263" s="116"/>
      <c r="Y263" s="117">
        <f>+L262*(R263/100)+W263</f>
        <v>1457751.8</v>
      </c>
      <c r="Z263" s="12"/>
      <c r="AA263" s="12">
        <f t="shared" si="98"/>
        <v>1457751.8</v>
      </c>
      <c r="AB263" s="12">
        <v>0.3</v>
      </c>
      <c r="AC263" s="12">
        <f t="shared" si="107"/>
        <v>4373.2554</v>
      </c>
      <c r="AD263" s="42"/>
      <c r="AE263" s="12"/>
    </row>
    <row r="264" spans="1:31" s="46" customFormat="1" ht="21">
      <c r="A264" s="42" t="s">
        <v>0</v>
      </c>
      <c r="B264" s="42"/>
      <c r="C264" s="45"/>
      <c r="D264" s="45"/>
      <c r="E264" s="45"/>
      <c r="F264" s="47"/>
      <c r="G264" s="42"/>
      <c r="H264" s="42"/>
      <c r="I264" s="44"/>
      <c r="J264" s="44">
        <f>+I264+(H264*100)+(G264*400)</f>
        <v>0</v>
      </c>
      <c r="K264" s="42"/>
      <c r="L264" s="42">
        <f>+K264*J264</f>
        <v>0</v>
      </c>
      <c r="M264" s="42">
        <v>3</v>
      </c>
      <c r="N264" s="42" t="s">
        <v>64</v>
      </c>
      <c r="O264" s="101" t="s">
        <v>446</v>
      </c>
      <c r="P264" s="45" t="s">
        <v>137</v>
      </c>
      <c r="Q264" s="100">
        <v>288</v>
      </c>
      <c r="R264" s="100">
        <v>54.22</v>
      </c>
      <c r="S264" s="42">
        <v>6550</v>
      </c>
      <c r="T264" s="12">
        <f>+Q264*S264</f>
        <v>1886400</v>
      </c>
      <c r="U264" s="45" t="s">
        <v>337</v>
      </c>
      <c r="V264" s="12">
        <f>+T264*0.06</f>
        <v>113184</v>
      </c>
      <c r="W264" s="12">
        <f>+T264-V264</f>
        <v>1773216</v>
      </c>
      <c r="X264" s="116"/>
      <c r="Y264" s="117">
        <f>+L262*(R264/100)+W264</f>
        <v>2099186.64</v>
      </c>
      <c r="Z264" s="12"/>
      <c r="AA264" s="12">
        <f t="shared" si="98"/>
        <v>2099186.64</v>
      </c>
      <c r="AB264" s="12">
        <v>0.02</v>
      </c>
      <c r="AC264" s="12">
        <f>+AA264*AB264/100</f>
        <v>419.83732800000007</v>
      </c>
      <c r="AD264" s="42"/>
      <c r="AE264" s="12"/>
    </row>
    <row r="265" spans="1:31" s="46" customFormat="1" ht="21">
      <c r="A265" s="42" t="s">
        <v>0</v>
      </c>
      <c r="B265" s="42" t="s">
        <v>1</v>
      </c>
      <c r="C265" s="45" t="s">
        <v>1079</v>
      </c>
      <c r="D265" s="51" t="s">
        <v>709</v>
      </c>
      <c r="E265" s="29" t="s">
        <v>907</v>
      </c>
      <c r="F265" s="47" t="s">
        <v>140</v>
      </c>
      <c r="G265" s="42"/>
      <c r="H265" s="42">
        <v>2</v>
      </c>
      <c r="I265" s="44">
        <v>35.5</v>
      </c>
      <c r="J265" s="44">
        <f t="shared" si="104"/>
        <v>235.5</v>
      </c>
      <c r="K265" s="42">
        <v>8000</v>
      </c>
      <c r="L265" s="42">
        <f t="shared" si="29"/>
        <v>1884000</v>
      </c>
      <c r="M265" s="42"/>
      <c r="N265" s="42"/>
      <c r="O265" s="42"/>
      <c r="P265" s="45"/>
      <c r="Q265" s="42"/>
      <c r="R265" s="100"/>
      <c r="S265" s="42"/>
      <c r="T265" s="12">
        <f t="shared" si="105"/>
        <v>0</v>
      </c>
      <c r="U265" s="45"/>
      <c r="V265" s="12">
        <f>+T265*0</f>
        <v>0</v>
      </c>
      <c r="W265" s="12">
        <f t="shared" si="106"/>
        <v>0</v>
      </c>
      <c r="X265" s="116"/>
      <c r="Y265" s="117">
        <f>+L265+W265</f>
        <v>1884000</v>
      </c>
      <c r="Z265" s="12"/>
      <c r="AA265" s="12">
        <f t="shared" si="98"/>
        <v>1884000</v>
      </c>
      <c r="AB265" s="12">
        <v>0.3</v>
      </c>
      <c r="AC265" s="12">
        <f t="shared" si="107"/>
        <v>5652</v>
      </c>
      <c r="AD265" s="42"/>
      <c r="AE265" s="12"/>
    </row>
    <row r="266" spans="1:31" s="46" customFormat="1" ht="21">
      <c r="A266" s="42" t="s">
        <v>0</v>
      </c>
      <c r="B266" s="42" t="s">
        <v>1</v>
      </c>
      <c r="C266" s="45" t="s">
        <v>1080</v>
      </c>
      <c r="D266" s="51" t="s">
        <v>710</v>
      </c>
      <c r="E266" s="29" t="s">
        <v>907</v>
      </c>
      <c r="F266" s="47" t="s">
        <v>140</v>
      </c>
      <c r="G266" s="42"/>
      <c r="H266" s="42">
        <v>2</v>
      </c>
      <c r="I266" s="44">
        <v>27.8</v>
      </c>
      <c r="J266" s="44">
        <f t="shared" si="104"/>
        <v>227.8</v>
      </c>
      <c r="K266" s="42">
        <v>8000</v>
      </c>
      <c r="L266" s="42">
        <f>+K266*J266</f>
        <v>1822400</v>
      </c>
      <c r="M266" s="42"/>
      <c r="N266" s="42"/>
      <c r="O266" s="100"/>
      <c r="P266" s="45"/>
      <c r="Q266" s="100"/>
      <c r="R266" s="100"/>
      <c r="S266" s="42"/>
      <c r="T266" s="12">
        <f t="shared" si="105"/>
        <v>0</v>
      </c>
      <c r="U266" s="45"/>
      <c r="V266" s="12">
        <f>+T266*0</f>
        <v>0</v>
      </c>
      <c r="W266" s="12">
        <f t="shared" si="106"/>
        <v>0</v>
      </c>
      <c r="X266" s="116"/>
      <c r="Y266" s="117">
        <f>+L266+W266</f>
        <v>1822400</v>
      </c>
      <c r="Z266" s="12"/>
      <c r="AA266" s="12">
        <f t="shared" si="98"/>
        <v>1822400</v>
      </c>
      <c r="AB266" s="12">
        <v>0.3</v>
      </c>
      <c r="AC266" s="12">
        <f t="shared" si="107"/>
        <v>5467.2</v>
      </c>
      <c r="AD266" s="42"/>
      <c r="AE266" s="12"/>
    </row>
    <row r="267" spans="1:31" s="46" customFormat="1" ht="21">
      <c r="A267" s="42" t="s">
        <v>0</v>
      </c>
      <c r="B267" s="42" t="s">
        <v>1</v>
      </c>
      <c r="C267" s="45" t="s">
        <v>1081</v>
      </c>
      <c r="D267" s="51" t="s">
        <v>711</v>
      </c>
      <c r="E267" s="29" t="s">
        <v>907</v>
      </c>
      <c r="F267" s="47" t="s">
        <v>137</v>
      </c>
      <c r="G267" s="42"/>
      <c r="H267" s="42"/>
      <c r="I267" s="44">
        <v>60</v>
      </c>
      <c r="J267" s="44">
        <f t="shared" si="104"/>
        <v>60</v>
      </c>
      <c r="K267" s="42">
        <v>10000</v>
      </c>
      <c r="L267" s="42">
        <f>+K267*J267</f>
        <v>600000</v>
      </c>
      <c r="M267" s="42"/>
      <c r="N267" s="42" t="s">
        <v>64</v>
      </c>
      <c r="O267" s="101" t="s">
        <v>446</v>
      </c>
      <c r="P267" s="45">
        <v>2</v>
      </c>
      <c r="Q267" s="100">
        <v>70</v>
      </c>
      <c r="R267" s="100"/>
      <c r="S267" s="42">
        <v>6550</v>
      </c>
      <c r="T267" s="12">
        <f t="shared" si="105"/>
        <v>458500</v>
      </c>
      <c r="U267" s="45" t="s">
        <v>321</v>
      </c>
      <c r="V267" s="12">
        <f>+T267*0.02</f>
        <v>9170</v>
      </c>
      <c r="W267" s="12">
        <f t="shared" si="106"/>
        <v>449330</v>
      </c>
      <c r="X267" s="116"/>
      <c r="Y267" s="117">
        <f>+L267+W267</f>
        <v>1049330</v>
      </c>
      <c r="Z267" s="12">
        <f>+Y267</f>
        <v>1049330</v>
      </c>
      <c r="AA267" s="12">
        <f t="shared" si="98"/>
        <v>0</v>
      </c>
      <c r="AB267" s="12"/>
      <c r="AC267" s="12">
        <f t="shared" si="107"/>
        <v>0</v>
      </c>
      <c r="AD267" s="42" t="s">
        <v>906</v>
      </c>
      <c r="AE267" s="12"/>
    </row>
    <row r="268" spans="1:31" s="46" customFormat="1" ht="21">
      <c r="A268" s="42"/>
      <c r="B268" s="42"/>
      <c r="C268" s="45"/>
      <c r="D268" s="45"/>
      <c r="E268" s="45"/>
      <c r="F268" s="47"/>
      <c r="G268" s="42"/>
      <c r="H268" s="42"/>
      <c r="I268" s="44"/>
      <c r="J268" s="44">
        <f t="shared" si="104"/>
        <v>0</v>
      </c>
      <c r="K268" s="42"/>
      <c r="L268" s="42">
        <f t="shared" si="29"/>
        <v>0</v>
      </c>
      <c r="M268" s="42"/>
      <c r="N268" s="42"/>
      <c r="O268" s="42"/>
      <c r="P268" s="31"/>
      <c r="Q268" s="42"/>
      <c r="R268" s="42"/>
      <c r="S268" s="42"/>
      <c r="T268" s="12">
        <f t="shared" si="105"/>
        <v>0</v>
      </c>
      <c r="U268" s="45"/>
      <c r="V268" s="12">
        <f>+T268*0</f>
        <v>0</v>
      </c>
      <c r="W268" s="12">
        <f t="shared" si="106"/>
        <v>0</v>
      </c>
      <c r="X268" s="116"/>
      <c r="Y268" s="117">
        <f>+L268+W268</f>
        <v>0</v>
      </c>
      <c r="Z268" s="12"/>
      <c r="AA268" s="12">
        <f t="shared" si="98"/>
        <v>0</v>
      </c>
      <c r="AB268" s="12"/>
      <c r="AC268" s="12">
        <f t="shared" si="107"/>
        <v>0</v>
      </c>
      <c r="AD268" s="42"/>
      <c r="AE268" s="12"/>
    </row>
    <row r="269" spans="1:31" s="46" customFormat="1" ht="21">
      <c r="A269" s="42" t="s">
        <v>0</v>
      </c>
      <c r="B269" s="42" t="s">
        <v>1</v>
      </c>
      <c r="C269" s="45" t="s">
        <v>1082</v>
      </c>
      <c r="D269" s="45" t="s">
        <v>712</v>
      </c>
      <c r="E269" s="30" t="s">
        <v>908</v>
      </c>
      <c r="F269" s="47" t="s">
        <v>137</v>
      </c>
      <c r="G269" s="42"/>
      <c r="H269" s="42"/>
      <c r="I269" s="44">
        <v>78.6</v>
      </c>
      <c r="J269" s="44">
        <f>+I269+(H269*100)+(G269*400)</f>
        <v>78.6</v>
      </c>
      <c r="K269" s="42">
        <v>8000</v>
      </c>
      <c r="L269" s="42">
        <f t="shared" si="29"/>
        <v>628800</v>
      </c>
      <c r="M269" s="42">
        <v>1</v>
      </c>
      <c r="N269" s="42" t="s">
        <v>64</v>
      </c>
      <c r="O269" s="101" t="s">
        <v>446</v>
      </c>
      <c r="P269" s="45">
        <v>2</v>
      </c>
      <c r="Q269" s="100">
        <v>84</v>
      </c>
      <c r="R269" s="100">
        <f>+Q269*100/(Q269+Q270)</f>
        <v>51.21951219512195</v>
      </c>
      <c r="S269" s="42">
        <v>6550</v>
      </c>
      <c r="T269" s="12">
        <f>+Q269*S269</f>
        <v>550200</v>
      </c>
      <c r="U269" s="102" t="s">
        <v>84</v>
      </c>
      <c r="V269" s="12">
        <f>+T269*0.2</f>
        <v>110040</v>
      </c>
      <c r="W269" s="12">
        <f>+T269-V269</f>
        <v>440160</v>
      </c>
      <c r="X269" s="116"/>
      <c r="Y269" s="117">
        <f>+L269*(R269/100)+W269</f>
        <v>762228.2926829269</v>
      </c>
      <c r="Z269" s="12"/>
      <c r="AA269" s="12">
        <f t="shared" si="98"/>
        <v>762228.2926829269</v>
      </c>
      <c r="AB269" s="12">
        <v>0.02</v>
      </c>
      <c r="AC269" s="12">
        <f>+AA269*AB269/100</f>
        <v>152.44565853658537</v>
      </c>
      <c r="AD269" s="42"/>
      <c r="AE269" s="12"/>
    </row>
    <row r="270" spans="1:31" s="46" customFormat="1" ht="21">
      <c r="A270" s="42" t="s">
        <v>0</v>
      </c>
      <c r="B270" s="42"/>
      <c r="C270" s="45"/>
      <c r="D270" s="45"/>
      <c r="E270" s="45"/>
      <c r="F270" s="47"/>
      <c r="G270" s="42"/>
      <c r="H270" s="42"/>
      <c r="I270" s="44"/>
      <c r="J270" s="44">
        <f>+I270+(H270*100)+(G270*400)</f>
        <v>0</v>
      </c>
      <c r="K270" s="42"/>
      <c r="L270" s="42">
        <f>+K270*J270</f>
        <v>0</v>
      </c>
      <c r="M270" s="42">
        <v>2</v>
      </c>
      <c r="N270" s="42" t="s">
        <v>64</v>
      </c>
      <c r="O270" s="101" t="s">
        <v>446</v>
      </c>
      <c r="P270" s="45">
        <v>2</v>
      </c>
      <c r="Q270" s="100">
        <v>80</v>
      </c>
      <c r="R270" s="100">
        <f>+Q270*100/(Q269+Q270)</f>
        <v>48.78048780487805</v>
      </c>
      <c r="S270" s="42">
        <v>6550</v>
      </c>
      <c r="T270" s="12">
        <f>+Q270*S270</f>
        <v>524000</v>
      </c>
      <c r="U270" s="45" t="s">
        <v>144</v>
      </c>
      <c r="V270" s="12">
        <f>+T270*0.07</f>
        <v>36680</v>
      </c>
      <c r="W270" s="12">
        <f>+T270-V270</f>
        <v>487320</v>
      </c>
      <c r="X270" s="116"/>
      <c r="Y270" s="117">
        <f>+L269*(R270/100)+W270</f>
        <v>794051.7073170731</v>
      </c>
      <c r="Z270" s="12"/>
      <c r="AA270" s="12">
        <f t="shared" si="98"/>
        <v>794051.7073170731</v>
      </c>
      <c r="AB270" s="12">
        <v>0.02</v>
      </c>
      <c r="AC270" s="12">
        <f>+AA270*AB270/100</f>
        <v>158.81034146341463</v>
      </c>
      <c r="AD270" s="42"/>
      <c r="AE270" s="12"/>
    </row>
    <row r="271" spans="1:31" s="46" customFormat="1" ht="21">
      <c r="A271" s="42" t="s">
        <v>0</v>
      </c>
      <c r="B271" s="42" t="s">
        <v>1</v>
      </c>
      <c r="C271" s="45" t="s">
        <v>1083</v>
      </c>
      <c r="D271" s="45" t="s">
        <v>713</v>
      </c>
      <c r="E271" s="10" t="s">
        <v>909</v>
      </c>
      <c r="F271" s="47" t="s">
        <v>140</v>
      </c>
      <c r="G271" s="42"/>
      <c r="H271" s="42"/>
      <c r="I271" s="44">
        <v>54.2</v>
      </c>
      <c r="J271" s="44">
        <f>+I271+(H271*100)+(G271*400)</f>
        <v>54.2</v>
      </c>
      <c r="K271" s="42">
        <v>4000</v>
      </c>
      <c r="L271" s="42">
        <f t="shared" si="29"/>
        <v>216800</v>
      </c>
      <c r="M271" s="42"/>
      <c r="N271" s="42"/>
      <c r="O271" s="42"/>
      <c r="P271" s="45"/>
      <c r="Q271" s="42"/>
      <c r="R271" s="100"/>
      <c r="S271" s="42"/>
      <c r="T271" s="12">
        <f>+Q271*S271</f>
        <v>0</v>
      </c>
      <c r="U271" s="45"/>
      <c r="V271" s="12">
        <f>+T271*0</f>
        <v>0</v>
      </c>
      <c r="W271" s="12">
        <f>+T271-V271</f>
        <v>0</v>
      </c>
      <c r="X271" s="116"/>
      <c r="Y271" s="117">
        <f aca="true" t="shared" si="108" ref="Y271:Y283">+L271+W271</f>
        <v>216800</v>
      </c>
      <c r="Z271" s="12"/>
      <c r="AA271" s="12">
        <f t="shared" si="98"/>
        <v>216800</v>
      </c>
      <c r="AB271" s="12">
        <v>0.3</v>
      </c>
      <c r="AC271" s="12">
        <f>+AA271*AB271/100</f>
        <v>650.4</v>
      </c>
      <c r="AD271" s="42"/>
      <c r="AE271" s="12"/>
    </row>
    <row r="272" spans="1:31" s="46" customFormat="1" ht="21">
      <c r="A272" s="42"/>
      <c r="B272" s="42"/>
      <c r="C272" s="45"/>
      <c r="D272" s="45"/>
      <c r="E272" s="45"/>
      <c r="F272" s="47"/>
      <c r="G272" s="42"/>
      <c r="H272" s="42"/>
      <c r="I272" s="44"/>
      <c r="J272" s="44">
        <f>+I272+(H272*100)+(G272*400)</f>
        <v>0</v>
      </c>
      <c r="K272" s="42"/>
      <c r="L272" s="42">
        <f t="shared" si="29"/>
        <v>0</v>
      </c>
      <c r="M272" s="42"/>
      <c r="N272" s="42"/>
      <c r="O272" s="42"/>
      <c r="P272" s="31"/>
      <c r="Q272" s="42"/>
      <c r="R272" s="42"/>
      <c r="S272" s="42"/>
      <c r="T272" s="12">
        <f>+Q272*S272</f>
        <v>0</v>
      </c>
      <c r="U272" s="45"/>
      <c r="V272" s="12">
        <f>+T272*0</f>
        <v>0</v>
      </c>
      <c r="W272" s="12">
        <f>+T272-V272</f>
        <v>0</v>
      </c>
      <c r="X272" s="116"/>
      <c r="Y272" s="117">
        <f t="shared" si="108"/>
        <v>0</v>
      </c>
      <c r="Z272" s="12"/>
      <c r="AA272" s="12">
        <f t="shared" si="98"/>
        <v>0</v>
      </c>
      <c r="AB272" s="12"/>
      <c r="AC272" s="12">
        <f>+AA272*AB272/100</f>
        <v>0</v>
      </c>
      <c r="AD272" s="42"/>
      <c r="AE272" s="12"/>
    </row>
    <row r="273" spans="1:31" s="46" customFormat="1" ht="21">
      <c r="A273" s="42"/>
      <c r="B273" s="42"/>
      <c r="C273" s="45"/>
      <c r="D273" s="45"/>
      <c r="E273" s="45"/>
      <c r="F273" s="47"/>
      <c r="G273" s="42"/>
      <c r="H273" s="42"/>
      <c r="I273" s="44"/>
      <c r="J273" s="44">
        <f>+I273+(H273*100)+(G273*400)</f>
        <v>0</v>
      </c>
      <c r="K273" s="42"/>
      <c r="L273" s="42">
        <f t="shared" si="29"/>
        <v>0</v>
      </c>
      <c r="M273" s="42"/>
      <c r="N273" s="42"/>
      <c r="O273" s="42"/>
      <c r="P273" s="31"/>
      <c r="Q273" s="42"/>
      <c r="R273" s="42"/>
      <c r="S273" s="42"/>
      <c r="T273" s="12">
        <f>+Q273*S273</f>
        <v>0</v>
      </c>
      <c r="U273" s="45"/>
      <c r="V273" s="12">
        <f>+T273*0</f>
        <v>0</v>
      </c>
      <c r="W273" s="12">
        <f>+T273-V273</f>
        <v>0</v>
      </c>
      <c r="X273" s="116"/>
      <c r="Y273" s="117">
        <f t="shared" si="108"/>
        <v>0</v>
      </c>
      <c r="Z273" s="12"/>
      <c r="AA273" s="12">
        <f t="shared" si="98"/>
        <v>0</v>
      </c>
      <c r="AB273" s="12"/>
      <c r="AC273" s="12">
        <f>+AA273*AB273/100</f>
        <v>0</v>
      </c>
      <c r="AD273" s="42"/>
      <c r="AE273" s="12"/>
    </row>
    <row r="274" spans="1:31" s="46" customFormat="1" ht="21">
      <c r="A274" s="42" t="s">
        <v>0</v>
      </c>
      <c r="B274" s="42" t="s">
        <v>1</v>
      </c>
      <c r="C274" s="45" t="s">
        <v>1084</v>
      </c>
      <c r="D274" s="51" t="s">
        <v>714</v>
      </c>
      <c r="E274" s="30" t="s">
        <v>908</v>
      </c>
      <c r="F274" s="47" t="s">
        <v>143</v>
      </c>
      <c r="G274" s="42"/>
      <c r="H274" s="42">
        <v>1</v>
      </c>
      <c r="I274" s="44">
        <v>36.2</v>
      </c>
      <c r="J274" s="44">
        <f aca="true" t="shared" si="109" ref="J274:J282">+I274+(H274*100)+(G274*400)</f>
        <v>136.2</v>
      </c>
      <c r="K274" s="42">
        <v>12000</v>
      </c>
      <c r="L274" s="42">
        <f t="shared" si="29"/>
        <v>1634399.9999999998</v>
      </c>
      <c r="M274" s="42"/>
      <c r="N274" s="111" t="s">
        <v>595</v>
      </c>
      <c r="O274" s="101" t="s">
        <v>446</v>
      </c>
      <c r="P274" s="45" t="s">
        <v>143</v>
      </c>
      <c r="Q274" s="111">
        <v>1080</v>
      </c>
      <c r="R274" s="132"/>
      <c r="S274" s="42">
        <v>6000</v>
      </c>
      <c r="T274" s="12">
        <f aca="true" t="shared" si="110" ref="T274:T282">+Q274*S274</f>
        <v>6480000</v>
      </c>
      <c r="U274" s="102" t="s">
        <v>84</v>
      </c>
      <c r="V274" s="12">
        <f>+T274*0.2</f>
        <v>1296000</v>
      </c>
      <c r="W274" s="12">
        <f aca="true" t="shared" si="111" ref="W274:W282">+T274-V274</f>
        <v>5184000</v>
      </c>
      <c r="X274" s="116"/>
      <c r="Y274" s="117">
        <f t="shared" si="108"/>
        <v>6818400</v>
      </c>
      <c r="Z274" s="12"/>
      <c r="AA274" s="12">
        <f aca="true" t="shared" si="112" ref="AA274:AA303">+Y274-Z274</f>
        <v>6818400</v>
      </c>
      <c r="AB274" s="12">
        <v>0.3</v>
      </c>
      <c r="AC274" s="12">
        <f aca="true" t="shared" si="113" ref="AC274:AC282">+AA274*AB274/100</f>
        <v>20455.2</v>
      </c>
      <c r="AD274" s="42"/>
      <c r="AE274" s="12"/>
    </row>
    <row r="275" spans="1:31" s="46" customFormat="1" ht="21">
      <c r="A275" s="42" t="s">
        <v>0</v>
      </c>
      <c r="B275" s="42" t="s">
        <v>1</v>
      </c>
      <c r="C275" s="45" t="s">
        <v>1085</v>
      </c>
      <c r="D275" s="45" t="s">
        <v>715</v>
      </c>
      <c r="E275" s="30" t="s">
        <v>908</v>
      </c>
      <c r="F275" s="47" t="s">
        <v>137</v>
      </c>
      <c r="G275" s="42">
        <v>1</v>
      </c>
      <c r="H275" s="42">
        <v>1</v>
      </c>
      <c r="I275" s="44">
        <v>11.1</v>
      </c>
      <c r="J275" s="44">
        <f t="shared" si="109"/>
        <v>511.1</v>
      </c>
      <c r="K275" s="42">
        <v>4000</v>
      </c>
      <c r="L275" s="42">
        <f t="shared" si="29"/>
        <v>2044400</v>
      </c>
      <c r="M275" s="42">
        <v>1</v>
      </c>
      <c r="N275" s="42" t="s">
        <v>1770</v>
      </c>
      <c r="O275" s="101" t="s">
        <v>446</v>
      </c>
      <c r="P275" s="45">
        <v>2</v>
      </c>
      <c r="Q275" s="100">
        <f>36*23</f>
        <v>828</v>
      </c>
      <c r="R275" s="100">
        <v>95.83</v>
      </c>
      <c r="S275" s="42">
        <v>7550</v>
      </c>
      <c r="T275" s="12">
        <f t="shared" si="110"/>
        <v>6251400</v>
      </c>
      <c r="U275" s="102" t="s">
        <v>84</v>
      </c>
      <c r="V275" s="12">
        <f>+T275*0.2</f>
        <v>1250280</v>
      </c>
      <c r="W275" s="12">
        <f t="shared" si="111"/>
        <v>5001120</v>
      </c>
      <c r="X275" s="116"/>
      <c r="Y275" s="117">
        <f>+L275*(R275/100)+W275</f>
        <v>6960268.52</v>
      </c>
      <c r="Z275" s="12"/>
      <c r="AA275" s="12">
        <f t="shared" si="112"/>
        <v>6960268.52</v>
      </c>
      <c r="AB275" s="12">
        <v>0.02</v>
      </c>
      <c r="AC275" s="12">
        <f t="shared" si="113"/>
        <v>1392.053704</v>
      </c>
      <c r="AD275" s="42"/>
      <c r="AE275" s="12"/>
    </row>
    <row r="276" spans="1:31" s="46" customFormat="1" ht="21">
      <c r="A276" s="42" t="s">
        <v>0</v>
      </c>
      <c r="B276" s="42"/>
      <c r="C276" s="45"/>
      <c r="D276" s="45"/>
      <c r="E276" s="45"/>
      <c r="F276" s="47"/>
      <c r="G276" s="42"/>
      <c r="H276" s="42"/>
      <c r="I276" s="44"/>
      <c r="J276" s="44">
        <f>+I276+(H276*100)+(G276*400)</f>
        <v>0</v>
      </c>
      <c r="K276" s="42"/>
      <c r="L276" s="42">
        <f>+K276*J276</f>
        <v>0</v>
      </c>
      <c r="M276" s="42">
        <v>2</v>
      </c>
      <c r="N276" s="42" t="s">
        <v>60</v>
      </c>
      <c r="O276" s="104" t="s">
        <v>446</v>
      </c>
      <c r="P276" s="45">
        <v>2</v>
      </c>
      <c r="Q276" s="104">
        <v>36</v>
      </c>
      <c r="R276" s="100">
        <v>4.17</v>
      </c>
      <c r="S276" s="42">
        <v>7550</v>
      </c>
      <c r="T276" s="12">
        <f>+Q276*S276</f>
        <v>271800</v>
      </c>
      <c r="U276" s="102" t="s">
        <v>84</v>
      </c>
      <c r="V276" s="12">
        <f>+T276*0.2</f>
        <v>54360</v>
      </c>
      <c r="W276" s="12">
        <f>+T276-V276</f>
        <v>217440</v>
      </c>
      <c r="X276" s="116"/>
      <c r="Y276" s="117">
        <f>+L275*(R276/100)+W276</f>
        <v>302691.48</v>
      </c>
      <c r="Z276" s="12">
        <f>+Y276</f>
        <v>302691.48</v>
      </c>
      <c r="AA276" s="12">
        <f t="shared" si="112"/>
        <v>0</v>
      </c>
      <c r="AB276" s="12"/>
      <c r="AC276" s="12">
        <f>+AA276*AB276/100</f>
        <v>0</v>
      </c>
      <c r="AD276" s="42" t="s">
        <v>906</v>
      </c>
      <c r="AE276" s="12"/>
    </row>
    <row r="277" spans="1:31" s="46" customFormat="1" ht="21">
      <c r="A277" s="42" t="s">
        <v>0</v>
      </c>
      <c r="B277" s="42" t="s">
        <v>1</v>
      </c>
      <c r="C277" s="45" t="s">
        <v>1086</v>
      </c>
      <c r="D277" s="45" t="s">
        <v>716</v>
      </c>
      <c r="E277" s="30" t="s">
        <v>908</v>
      </c>
      <c r="F277" s="47" t="s">
        <v>137</v>
      </c>
      <c r="G277" s="42"/>
      <c r="H277" s="42">
        <v>1</v>
      </c>
      <c r="I277" s="44">
        <v>63.3</v>
      </c>
      <c r="J277" s="44">
        <f t="shared" si="109"/>
        <v>163.3</v>
      </c>
      <c r="K277" s="42">
        <v>10000</v>
      </c>
      <c r="L277" s="42">
        <f>+K277*J277</f>
        <v>1633000</v>
      </c>
      <c r="M277" s="42"/>
      <c r="N277" s="42" t="s">
        <v>717</v>
      </c>
      <c r="O277" s="101" t="s">
        <v>446</v>
      </c>
      <c r="P277" s="45">
        <v>2</v>
      </c>
      <c r="Q277" s="100">
        <f>36*9</f>
        <v>324</v>
      </c>
      <c r="R277" s="100"/>
      <c r="S277" s="42">
        <v>7550</v>
      </c>
      <c r="T277" s="12">
        <f t="shared" si="110"/>
        <v>2446200</v>
      </c>
      <c r="U277" s="102" t="s">
        <v>84</v>
      </c>
      <c r="V277" s="12">
        <f>+T277*0.2</f>
        <v>489240</v>
      </c>
      <c r="W277" s="12">
        <f t="shared" si="111"/>
        <v>1956960</v>
      </c>
      <c r="X277" s="116"/>
      <c r="Y277" s="117">
        <f t="shared" si="108"/>
        <v>3589960</v>
      </c>
      <c r="Z277" s="12"/>
      <c r="AA277" s="12">
        <f t="shared" si="112"/>
        <v>3589960</v>
      </c>
      <c r="AB277" s="12">
        <v>0.02</v>
      </c>
      <c r="AC277" s="12">
        <f t="shared" si="113"/>
        <v>717.992</v>
      </c>
      <c r="AD277" s="42"/>
      <c r="AE277" s="12"/>
    </row>
    <row r="278" spans="1:31" s="46" customFormat="1" ht="21">
      <c r="A278" s="42"/>
      <c r="B278" s="42"/>
      <c r="C278" s="45"/>
      <c r="D278" s="45"/>
      <c r="E278" s="45"/>
      <c r="F278" s="47"/>
      <c r="G278" s="42"/>
      <c r="H278" s="42"/>
      <c r="I278" s="44"/>
      <c r="J278" s="44">
        <f t="shared" si="109"/>
        <v>0</v>
      </c>
      <c r="K278" s="42"/>
      <c r="L278" s="42">
        <f>+K278*J278</f>
        <v>0</v>
      </c>
      <c r="M278" s="42"/>
      <c r="N278" s="42"/>
      <c r="O278" s="42"/>
      <c r="P278" s="31"/>
      <c r="Q278" s="42"/>
      <c r="R278" s="42"/>
      <c r="S278" s="42"/>
      <c r="T278" s="12">
        <f t="shared" si="110"/>
        <v>0</v>
      </c>
      <c r="U278" s="45"/>
      <c r="V278" s="12">
        <f>+T278*0</f>
        <v>0</v>
      </c>
      <c r="W278" s="12">
        <f t="shared" si="111"/>
        <v>0</v>
      </c>
      <c r="X278" s="116"/>
      <c r="Y278" s="117">
        <f t="shared" si="108"/>
        <v>0</v>
      </c>
      <c r="Z278" s="12"/>
      <c r="AA278" s="12">
        <f t="shared" si="112"/>
        <v>0</v>
      </c>
      <c r="AB278" s="12"/>
      <c r="AC278" s="12">
        <f t="shared" si="113"/>
        <v>0</v>
      </c>
      <c r="AD278" s="42"/>
      <c r="AE278" s="12"/>
    </row>
    <row r="279" spans="1:31" s="46" customFormat="1" ht="21">
      <c r="A279" s="42"/>
      <c r="B279" s="42"/>
      <c r="C279" s="45"/>
      <c r="D279" s="45"/>
      <c r="E279" s="45"/>
      <c r="F279" s="47"/>
      <c r="G279" s="42"/>
      <c r="H279" s="42"/>
      <c r="I279" s="44"/>
      <c r="J279" s="44">
        <f>+I279+(H279*100)+(G279*400)</f>
        <v>0</v>
      </c>
      <c r="K279" s="42"/>
      <c r="L279" s="42">
        <f>+K279*J279</f>
        <v>0</v>
      </c>
      <c r="M279" s="42"/>
      <c r="N279" s="42"/>
      <c r="O279" s="100"/>
      <c r="P279" s="31"/>
      <c r="Q279" s="100"/>
      <c r="R279" s="100"/>
      <c r="S279" s="42"/>
      <c r="T279" s="12">
        <f>+Q279*S279</f>
        <v>0</v>
      </c>
      <c r="U279" s="45"/>
      <c r="V279" s="12">
        <f>+T279*0</f>
        <v>0</v>
      </c>
      <c r="W279" s="12">
        <f>+T279-V279</f>
        <v>0</v>
      </c>
      <c r="X279" s="116"/>
      <c r="Y279" s="117">
        <f t="shared" si="108"/>
        <v>0</v>
      </c>
      <c r="Z279" s="12"/>
      <c r="AA279" s="12">
        <f t="shared" si="112"/>
        <v>0</v>
      </c>
      <c r="AB279" s="12"/>
      <c r="AC279" s="12">
        <f t="shared" si="113"/>
        <v>0</v>
      </c>
      <c r="AD279" s="42"/>
      <c r="AE279" s="12"/>
    </row>
    <row r="280" spans="1:31" s="46" customFormat="1" ht="21">
      <c r="A280" s="42"/>
      <c r="B280" s="42"/>
      <c r="C280" s="45"/>
      <c r="D280" s="45"/>
      <c r="E280" s="45"/>
      <c r="F280" s="47"/>
      <c r="G280" s="42"/>
      <c r="H280" s="42"/>
      <c r="I280" s="44"/>
      <c r="J280" s="44">
        <f>+I280+(H280*100)+(G280*400)</f>
        <v>0</v>
      </c>
      <c r="K280" s="42"/>
      <c r="L280" s="42">
        <f>+K280*J280</f>
        <v>0</v>
      </c>
      <c r="M280" s="42"/>
      <c r="N280" s="42"/>
      <c r="O280" s="42"/>
      <c r="P280" s="31"/>
      <c r="Q280" s="42"/>
      <c r="R280" s="42"/>
      <c r="S280" s="42"/>
      <c r="T280" s="12">
        <f>+Q280*S280</f>
        <v>0</v>
      </c>
      <c r="U280" s="45"/>
      <c r="V280" s="12">
        <f>+T280*0</f>
        <v>0</v>
      </c>
      <c r="W280" s="12">
        <f>+T280-V280</f>
        <v>0</v>
      </c>
      <c r="X280" s="116"/>
      <c r="Y280" s="117">
        <f t="shared" si="108"/>
        <v>0</v>
      </c>
      <c r="Z280" s="12"/>
      <c r="AA280" s="12">
        <f t="shared" si="112"/>
        <v>0</v>
      </c>
      <c r="AB280" s="12"/>
      <c r="AC280" s="12">
        <f t="shared" si="113"/>
        <v>0</v>
      </c>
      <c r="AD280" s="42"/>
      <c r="AE280" s="12"/>
    </row>
    <row r="281" spans="1:31" s="46" customFormat="1" ht="21">
      <c r="A281" s="42"/>
      <c r="B281" s="42"/>
      <c r="C281" s="45"/>
      <c r="D281" s="45"/>
      <c r="E281" s="45"/>
      <c r="F281" s="47"/>
      <c r="G281" s="42"/>
      <c r="H281" s="42"/>
      <c r="I281" s="44"/>
      <c r="J281" s="44">
        <f t="shared" si="109"/>
        <v>0</v>
      </c>
      <c r="K281" s="42"/>
      <c r="L281" s="42">
        <f t="shared" si="29"/>
        <v>0</v>
      </c>
      <c r="M281" s="42"/>
      <c r="N281" s="42"/>
      <c r="O281" s="100"/>
      <c r="P281" s="31"/>
      <c r="Q281" s="100"/>
      <c r="R281" s="100"/>
      <c r="S281" s="42"/>
      <c r="T281" s="12">
        <f t="shared" si="110"/>
        <v>0</v>
      </c>
      <c r="U281" s="45"/>
      <c r="V281" s="12">
        <f>+T281*0</f>
        <v>0</v>
      </c>
      <c r="W281" s="12">
        <f t="shared" si="111"/>
        <v>0</v>
      </c>
      <c r="X281" s="116"/>
      <c r="Y281" s="117">
        <f t="shared" si="108"/>
        <v>0</v>
      </c>
      <c r="Z281" s="12"/>
      <c r="AA281" s="12">
        <f t="shared" si="112"/>
        <v>0</v>
      </c>
      <c r="AB281" s="12"/>
      <c r="AC281" s="12">
        <f t="shared" si="113"/>
        <v>0</v>
      </c>
      <c r="AD281" s="42"/>
      <c r="AE281" s="12"/>
    </row>
    <row r="282" spans="1:31" s="46" customFormat="1" ht="21">
      <c r="A282" s="42"/>
      <c r="B282" s="42"/>
      <c r="C282" s="45"/>
      <c r="D282" s="45"/>
      <c r="E282" s="45"/>
      <c r="F282" s="47"/>
      <c r="G282" s="42"/>
      <c r="H282" s="42"/>
      <c r="I282" s="44"/>
      <c r="J282" s="44">
        <f t="shared" si="109"/>
        <v>0</v>
      </c>
      <c r="K282" s="42"/>
      <c r="L282" s="42">
        <f t="shared" si="29"/>
        <v>0</v>
      </c>
      <c r="M282" s="42"/>
      <c r="N282" s="42"/>
      <c r="O282" s="42"/>
      <c r="P282" s="31"/>
      <c r="Q282" s="42"/>
      <c r="R282" s="42"/>
      <c r="S282" s="42"/>
      <c r="T282" s="12">
        <f t="shared" si="110"/>
        <v>0</v>
      </c>
      <c r="U282" s="45"/>
      <c r="V282" s="12">
        <f>+T282*0</f>
        <v>0</v>
      </c>
      <c r="W282" s="12">
        <f t="shared" si="111"/>
        <v>0</v>
      </c>
      <c r="X282" s="116"/>
      <c r="Y282" s="117">
        <f t="shared" si="108"/>
        <v>0</v>
      </c>
      <c r="Z282" s="12"/>
      <c r="AA282" s="12">
        <f t="shared" si="112"/>
        <v>0</v>
      </c>
      <c r="AB282" s="12"/>
      <c r="AC282" s="12">
        <f t="shared" si="113"/>
        <v>0</v>
      </c>
      <c r="AD282" s="42"/>
      <c r="AE282" s="12"/>
    </row>
    <row r="283" spans="1:31" s="46" customFormat="1" ht="21">
      <c r="A283" s="42" t="s">
        <v>0</v>
      </c>
      <c r="B283" s="42" t="s">
        <v>1</v>
      </c>
      <c r="C283" s="45" t="s">
        <v>1087</v>
      </c>
      <c r="D283" s="45" t="s">
        <v>718</v>
      </c>
      <c r="E283" s="29" t="s">
        <v>907</v>
      </c>
      <c r="F283" s="47" t="s">
        <v>137</v>
      </c>
      <c r="G283" s="42"/>
      <c r="H283" s="42"/>
      <c r="I283" s="44">
        <v>96</v>
      </c>
      <c r="J283" s="44">
        <f aca="true" t="shared" si="114" ref="J283:J289">+I283+(H283*100)+(G283*400)</f>
        <v>96</v>
      </c>
      <c r="K283" s="42">
        <v>12000</v>
      </c>
      <c r="L283" s="42">
        <f t="shared" si="29"/>
        <v>1152000</v>
      </c>
      <c r="M283" s="42"/>
      <c r="N283" s="42" t="s">
        <v>327</v>
      </c>
      <c r="O283" s="101" t="s">
        <v>446</v>
      </c>
      <c r="P283" s="45">
        <v>2</v>
      </c>
      <c r="Q283" s="100">
        <f>32*4</f>
        <v>128</v>
      </c>
      <c r="R283" s="100"/>
      <c r="S283" s="42">
        <v>7550</v>
      </c>
      <c r="T283" s="12">
        <f aca="true" t="shared" si="115" ref="T283:T289">+Q283*S283</f>
        <v>966400</v>
      </c>
      <c r="U283" s="102" t="s">
        <v>83</v>
      </c>
      <c r="V283" s="12">
        <f>+T283*0.18</f>
        <v>173952</v>
      </c>
      <c r="W283" s="12">
        <f aca="true" t="shared" si="116" ref="W283:W289">+T283-V283</f>
        <v>792448</v>
      </c>
      <c r="X283" s="116"/>
      <c r="Y283" s="117">
        <f t="shared" si="108"/>
        <v>1944448</v>
      </c>
      <c r="Z283" s="12"/>
      <c r="AA283" s="12">
        <f t="shared" si="112"/>
        <v>1944448</v>
      </c>
      <c r="AB283" s="12">
        <v>0.02</v>
      </c>
      <c r="AC283" s="12">
        <f aca="true" t="shared" si="117" ref="AC283:AC289">+AA283*AB283/100</f>
        <v>388.8896</v>
      </c>
      <c r="AD283" s="42"/>
      <c r="AE283" s="12"/>
    </row>
    <row r="284" spans="1:31" s="46" customFormat="1" ht="21">
      <c r="A284" s="42" t="s">
        <v>0</v>
      </c>
      <c r="B284" s="42" t="s">
        <v>1</v>
      </c>
      <c r="C284" s="45" t="s">
        <v>1088</v>
      </c>
      <c r="D284" s="51" t="s">
        <v>719</v>
      </c>
      <c r="E284" s="29" t="s">
        <v>907</v>
      </c>
      <c r="F284" s="47" t="s">
        <v>167</v>
      </c>
      <c r="G284" s="42"/>
      <c r="H284" s="42">
        <v>1</v>
      </c>
      <c r="I284" s="44">
        <v>42.8</v>
      </c>
      <c r="J284" s="44">
        <f t="shared" si="114"/>
        <v>142.8</v>
      </c>
      <c r="K284" s="42">
        <v>12000</v>
      </c>
      <c r="L284" s="42">
        <f t="shared" si="29"/>
        <v>1713600.0000000002</v>
      </c>
      <c r="M284" s="42">
        <v>1</v>
      </c>
      <c r="N284" s="42" t="s">
        <v>721</v>
      </c>
      <c r="O284" s="101" t="s">
        <v>446</v>
      </c>
      <c r="P284" s="45">
        <v>2</v>
      </c>
      <c r="Q284" s="100">
        <f>32*5</f>
        <v>160</v>
      </c>
      <c r="R284" s="100">
        <v>74.07</v>
      </c>
      <c r="S284" s="42">
        <v>7550</v>
      </c>
      <c r="T284" s="12">
        <f t="shared" si="115"/>
        <v>1208000</v>
      </c>
      <c r="U284" s="102" t="s">
        <v>83</v>
      </c>
      <c r="V284" s="12">
        <f>+T284*0.18</f>
        <v>217440</v>
      </c>
      <c r="W284" s="12">
        <f t="shared" si="116"/>
        <v>990560</v>
      </c>
      <c r="X284" s="116"/>
      <c r="Y284" s="117">
        <f>+L284*(R284/100)+W284</f>
        <v>2259823.52</v>
      </c>
      <c r="Z284" s="12"/>
      <c r="AA284" s="12">
        <f t="shared" si="112"/>
        <v>2259823.52</v>
      </c>
      <c r="AB284" s="12">
        <v>0.02</v>
      </c>
      <c r="AC284" s="12">
        <f t="shared" si="117"/>
        <v>451.964704</v>
      </c>
      <c r="AD284" s="42"/>
      <c r="AE284" s="12"/>
    </row>
    <row r="285" spans="1:31" s="46" customFormat="1" ht="21">
      <c r="A285" s="42" t="s">
        <v>0</v>
      </c>
      <c r="B285" s="42"/>
      <c r="C285" s="45"/>
      <c r="D285" s="51"/>
      <c r="E285" s="45"/>
      <c r="F285" s="47"/>
      <c r="G285" s="42"/>
      <c r="H285" s="42"/>
      <c r="I285" s="44"/>
      <c r="J285" s="44">
        <f t="shared" si="114"/>
        <v>0</v>
      </c>
      <c r="K285" s="42"/>
      <c r="L285" s="42">
        <f>+K285*J285</f>
        <v>0</v>
      </c>
      <c r="M285" s="42">
        <v>2</v>
      </c>
      <c r="N285" s="42" t="s">
        <v>60</v>
      </c>
      <c r="O285" s="101" t="s">
        <v>446</v>
      </c>
      <c r="P285" s="45" t="s">
        <v>143</v>
      </c>
      <c r="Q285" s="100">
        <v>28</v>
      </c>
      <c r="R285" s="100">
        <v>12.96</v>
      </c>
      <c r="S285" s="42">
        <v>7550</v>
      </c>
      <c r="T285" s="12">
        <f t="shared" si="115"/>
        <v>211400</v>
      </c>
      <c r="U285" s="45" t="s">
        <v>379</v>
      </c>
      <c r="V285" s="12">
        <f>+T285*0.03</f>
        <v>6342</v>
      </c>
      <c r="W285" s="12">
        <f t="shared" si="116"/>
        <v>205058</v>
      </c>
      <c r="X285" s="116"/>
      <c r="Y285" s="117">
        <f>+L284*(R285/100)+W285</f>
        <v>427140.56000000006</v>
      </c>
      <c r="Z285" s="12"/>
      <c r="AA285" s="12">
        <f t="shared" si="112"/>
        <v>427140.56000000006</v>
      </c>
      <c r="AB285" s="12">
        <v>0.3</v>
      </c>
      <c r="AC285" s="12">
        <f t="shared" si="117"/>
        <v>1281.4216800000002</v>
      </c>
      <c r="AD285" s="42"/>
      <c r="AE285" s="12"/>
    </row>
    <row r="286" spans="1:31" s="46" customFormat="1" ht="21">
      <c r="A286" s="42" t="s">
        <v>0</v>
      </c>
      <c r="B286" s="42"/>
      <c r="C286" s="45"/>
      <c r="D286" s="51"/>
      <c r="E286" s="45"/>
      <c r="F286" s="47"/>
      <c r="G286" s="42"/>
      <c r="H286" s="42"/>
      <c r="I286" s="44"/>
      <c r="J286" s="44">
        <f t="shared" si="114"/>
        <v>0</v>
      </c>
      <c r="K286" s="42"/>
      <c r="L286" s="42">
        <f>+K286*J286</f>
        <v>0</v>
      </c>
      <c r="M286" s="42">
        <v>3</v>
      </c>
      <c r="N286" s="42" t="s">
        <v>60</v>
      </c>
      <c r="O286" s="101" t="s">
        <v>446</v>
      </c>
      <c r="P286" s="45">
        <v>2</v>
      </c>
      <c r="Q286" s="100">
        <v>28</v>
      </c>
      <c r="R286" s="100">
        <v>12.97</v>
      </c>
      <c r="S286" s="42">
        <v>7550</v>
      </c>
      <c r="T286" s="12">
        <f t="shared" si="115"/>
        <v>211400</v>
      </c>
      <c r="U286" s="45" t="s">
        <v>379</v>
      </c>
      <c r="V286" s="12">
        <f>+T286*0.03</f>
        <v>6342</v>
      </c>
      <c r="W286" s="12">
        <f t="shared" si="116"/>
        <v>205058</v>
      </c>
      <c r="X286" s="116"/>
      <c r="Y286" s="117">
        <f>+L284*(R286/100)+W286</f>
        <v>427311.92000000004</v>
      </c>
      <c r="Z286" s="12"/>
      <c r="AA286" s="12">
        <f t="shared" si="112"/>
        <v>427311.92000000004</v>
      </c>
      <c r="AB286" s="12">
        <v>0.02</v>
      </c>
      <c r="AC286" s="12">
        <f t="shared" si="117"/>
        <v>85.462384</v>
      </c>
      <c r="AD286" s="42"/>
      <c r="AE286" s="12"/>
    </row>
    <row r="287" spans="1:31" s="46" customFormat="1" ht="21">
      <c r="A287" s="42" t="s">
        <v>0</v>
      </c>
      <c r="B287" s="42" t="s">
        <v>1</v>
      </c>
      <c r="C287" s="45" t="s">
        <v>1089</v>
      </c>
      <c r="D287" s="51" t="s">
        <v>720</v>
      </c>
      <c r="E287" s="29" t="s">
        <v>907</v>
      </c>
      <c r="F287" s="47" t="s">
        <v>140</v>
      </c>
      <c r="G287" s="42"/>
      <c r="H287" s="42">
        <v>2</v>
      </c>
      <c r="I287" s="44"/>
      <c r="J287" s="44">
        <f t="shared" si="114"/>
        <v>200</v>
      </c>
      <c r="K287" s="42">
        <v>10000</v>
      </c>
      <c r="L287" s="42">
        <f t="shared" si="29"/>
        <v>2000000</v>
      </c>
      <c r="M287" s="42"/>
      <c r="N287" s="42"/>
      <c r="O287" s="42"/>
      <c r="P287" s="45"/>
      <c r="Q287" s="42"/>
      <c r="R287" s="100"/>
      <c r="S287" s="42"/>
      <c r="T287" s="12">
        <f t="shared" si="115"/>
        <v>0</v>
      </c>
      <c r="U287" s="45"/>
      <c r="V287" s="12">
        <f>+T287*0</f>
        <v>0</v>
      </c>
      <c r="W287" s="12">
        <f t="shared" si="116"/>
        <v>0</v>
      </c>
      <c r="X287" s="116"/>
      <c r="Y287" s="117">
        <f>+L287+W287</f>
        <v>2000000</v>
      </c>
      <c r="Z287" s="12"/>
      <c r="AA287" s="12">
        <f t="shared" si="112"/>
        <v>2000000</v>
      </c>
      <c r="AB287" s="12">
        <v>0.3</v>
      </c>
      <c r="AC287" s="12">
        <f t="shared" si="117"/>
        <v>6000</v>
      </c>
      <c r="AD287" s="42"/>
      <c r="AE287" s="12"/>
    </row>
    <row r="288" spans="1:31" s="46" customFormat="1" ht="21">
      <c r="A288" s="42"/>
      <c r="B288" s="42"/>
      <c r="C288" s="45"/>
      <c r="D288" s="45"/>
      <c r="E288" s="45"/>
      <c r="F288" s="47"/>
      <c r="G288" s="42"/>
      <c r="H288" s="42"/>
      <c r="I288" s="44"/>
      <c r="J288" s="44">
        <f t="shared" si="114"/>
        <v>0</v>
      </c>
      <c r="K288" s="42"/>
      <c r="L288" s="42">
        <f t="shared" si="29"/>
        <v>0</v>
      </c>
      <c r="M288" s="42"/>
      <c r="N288" s="42"/>
      <c r="O288" s="42"/>
      <c r="P288" s="31"/>
      <c r="Q288" s="42"/>
      <c r="R288" s="42"/>
      <c r="S288" s="42"/>
      <c r="T288" s="12">
        <f t="shared" si="115"/>
        <v>0</v>
      </c>
      <c r="U288" s="45"/>
      <c r="V288" s="12">
        <f>+T288*0</f>
        <v>0</v>
      </c>
      <c r="W288" s="12">
        <f t="shared" si="116"/>
        <v>0</v>
      </c>
      <c r="X288" s="116"/>
      <c r="Y288" s="117">
        <f>+L288+W288</f>
        <v>0</v>
      </c>
      <c r="Z288" s="12"/>
      <c r="AA288" s="12">
        <f t="shared" si="112"/>
        <v>0</v>
      </c>
      <c r="AB288" s="12"/>
      <c r="AC288" s="12">
        <f t="shared" si="117"/>
        <v>0</v>
      </c>
      <c r="AD288" s="42"/>
      <c r="AE288" s="12"/>
    </row>
    <row r="289" spans="1:31" s="46" customFormat="1" ht="21">
      <c r="A289" s="42"/>
      <c r="B289" s="42"/>
      <c r="C289" s="45"/>
      <c r="D289" s="45"/>
      <c r="E289" s="45"/>
      <c r="F289" s="47"/>
      <c r="G289" s="42"/>
      <c r="H289" s="42"/>
      <c r="I289" s="44"/>
      <c r="J289" s="44">
        <f t="shared" si="114"/>
        <v>0</v>
      </c>
      <c r="K289" s="42"/>
      <c r="L289" s="42">
        <f t="shared" si="29"/>
        <v>0</v>
      </c>
      <c r="M289" s="42"/>
      <c r="N289" s="42"/>
      <c r="O289" s="42"/>
      <c r="P289" s="31"/>
      <c r="Q289" s="42"/>
      <c r="R289" s="42"/>
      <c r="S289" s="42"/>
      <c r="T289" s="12">
        <f t="shared" si="115"/>
        <v>0</v>
      </c>
      <c r="U289" s="45"/>
      <c r="V289" s="12">
        <f>+T289*0</f>
        <v>0</v>
      </c>
      <c r="W289" s="12">
        <f t="shared" si="116"/>
        <v>0</v>
      </c>
      <c r="X289" s="116"/>
      <c r="Y289" s="117">
        <f>+L289+W289</f>
        <v>0</v>
      </c>
      <c r="Z289" s="12"/>
      <c r="AA289" s="12">
        <f t="shared" si="112"/>
        <v>0</v>
      </c>
      <c r="AB289" s="12"/>
      <c r="AC289" s="12">
        <f t="shared" si="117"/>
        <v>0</v>
      </c>
      <c r="AD289" s="42"/>
      <c r="AE289" s="12"/>
    </row>
    <row r="290" spans="1:31" s="46" customFormat="1" ht="21">
      <c r="A290" s="42" t="s">
        <v>0</v>
      </c>
      <c r="B290" s="42" t="s">
        <v>1</v>
      </c>
      <c r="C290" s="45" t="s">
        <v>1090</v>
      </c>
      <c r="D290" s="45" t="s">
        <v>722</v>
      </c>
      <c r="E290" s="30" t="s">
        <v>908</v>
      </c>
      <c r="F290" s="47" t="s">
        <v>167</v>
      </c>
      <c r="G290" s="42"/>
      <c r="H290" s="42">
        <v>2</v>
      </c>
      <c r="I290" s="44">
        <v>14.8</v>
      </c>
      <c r="J290" s="44">
        <f aca="true" t="shared" si="118" ref="J290:J321">+I290+(H290*100)+(G290*400)</f>
        <v>214.8</v>
      </c>
      <c r="K290" s="42">
        <v>30000</v>
      </c>
      <c r="L290" s="42">
        <f t="shared" si="29"/>
        <v>6444000</v>
      </c>
      <c r="M290" s="42">
        <v>1</v>
      </c>
      <c r="N290" s="42" t="s">
        <v>60</v>
      </c>
      <c r="O290" s="101" t="s">
        <v>447</v>
      </c>
      <c r="P290" s="45">
        <v>2</v>
      </c>
      <c r="Q290" s="100">
        <v>200</v>
      </c>
      <c r="R290" s="100">
        <f>+Q290*100/(Q290+Q291)</f>
        <v>50</v>
      </c>
      <c r="S290" s="42">
        <v>7550</v>
      </c>
      <c r="T290" s="12">
        <f aca="true" t="shared" si="119" ref="T290:T321">+Q290*S290</f>
        <v>1510000</v>
      </c>
      <c r="U290" s="102" t="s">
        <v>74</v>
      </c>
      <c r="V290" s="12">
        <f>+T290*0.36</f>
        <v>543600</v>
      </c>
      <c r="W290" s="12">
        <f aca="true" t="shared" si="120" ref="W290:W321">+T290-V290</f>
        <v>966400</v>
      </c>
      <c r="X290" s="116"/>
      <c r="Y290" s="117">
        <f>+L290*(R290/100)+W290</f>
        <v>4188400</v>
      </c>
      <c r="Z290" s="12"/>
      <c r="AA290" s="12">
        <f t="shared" si="112"/>
        <v>4188400</v>
      </c>
      <c r="AB290" s="12">
        <v>0.02</v>
      </c>
      <c r="AC290" s="12">
        <f aca="true" t="shared" si="121" ref="AC290:AC304">+AA290*AB290/100</f>
        <v>837.68</v>
      </c>
      <c r="AD290" s="42"/>
      <c r="AE290" s="12"/>
    </row>
    <row r="291" spans="1:31" s="46" customFormat="1" ht="21">
      <c r="A291" s="42" t="s">
        <v>0</v>
      </c>
      <c r="B291" s="42"/>
      <c r="C291" s="45"/>
      <c r="D291" s="45"/>
      <c r="E291" s="45"/>
      <c r="F291" s="47"/>
      <c r="G291" s="42"/>
      <c r="H291" s="42"/>
      <c r="I291" s="44"/>
      <c r="J291" s="44">
        <f t="shared" si="118"/>
        <v>0</v>
      </c>
      <c r="K291" s="42"/>
      <c r="L291" s="42">
        <f>+K291*J291</f>
        <v>0</v>
      </c>
      <c r="M291" s="42">
        <v>2</v>
      </c>
      <c r="N291" s="42" t="s">
        <v>60</v>
      </c>
      <c r="O291" s="101" t="s">
        <v>447</v>
      </c>
      <c r="P291" s="45">
        <v>2</v>
      </c>
      <c r="Q291" s="100">
        <v>200</v>
      </c>
      <c r="R291" s="100">
        <f>+Q291*100/(Q290+Q291)</f>
        <v>50</v>
      </c>
      <c r="S291" s="42">
        <v>7550</v>
      </c>
      <c r="T291" s="12">
        <f t="shared" si="119"/>
        <v>1510000</v>
      </c>
      <c r="U291" s="102" t="s">
        <v>74</v>
      </c>
      <c r="V291" s="12">
        <f>+T291*0.36</f>
        <v>543600</v>
      </c>
      <c r="W291" s="12">
        <f t="shared" si="120"/>
        <v>966400</v>
      </c>
      <c r="X291" s="116"/>
      <c r="Y291" s="117">
        <f>+L290*(R291/100)+W291</f>
        <v>4188400</v>
      </c>
      <c r="Z291" s="12">
        <f>+Y291</f>
        <v>4188400</v>
      </c>
      <c r="AA291" s="12">
        <f t="shared" si="112"/>
        <v>0</v>
      </c>
      <c r="AB291" s="12"/>
      <c r="AC291" s="12">
        <f t="shared" si="121"/>
        <v>0</v>
      </c>
      <c r="AD291" s="31" t="s">
        <v>906</v>
      </c>
      <c r="AE291" s="12"/>
    </row>
    <row r="292" spans="1:31" s="46" customFormat="1" ht="21">
      <c r="A292" s="42" t="s">
        <v>0</v>
      </c>
      <c r="B292" s="42" t="s">
        <v>1</v>
      </c>
      <c r="C292" s="45" t="s">
        <v>1091</v>
      </c>
      <c r="D292" s="45" t="s">
        <v>723</v>
      </c>
      <c r="E292" s="30" t="s">
        <v>908</v>
      </c>
      <c r="F292" s="47" t="s">
        <v>140</v>
      </c>
      <c r="G292" s="42"/>
      <c r="H292" s="42"/>
      <c r="I292" s="44">
        <v>96.3</v>
      </c>
      <c r="J292" s="44">
        <f t="shared" si="118"/>
        <v>96.3</v>
      </c>
      <c r="K292" s="42">
        <v>20000</v>
      </c>
      <c r="L292" s="42">
        <f t="shared" si="29"/>
        <v>1926000</v>
      </c>
      <c r="M292" s="42"/>
      <c r="N292" s="42"/>
      <c r="O292" s="100"/>
      <c r="P292" s="45"/>
      <c r="Q292" s="100"/>
      <c r="R292" s="100"/>
      <c r="S292" s="42"/>
      <c r="T292" s="12">
        <f t="shared" si="119"/>
        <v>0</v>
      </c>
      <c r="U292" s="45"/>
      <c r="V292" s="12">
        <f>+T292*0</f>
        <v>0</v>
      </c>
      <c r="W292" s="12">
        <f t="shared" si="120"/>
        <v>0</v>
      </c>
      <c r="X292" s="116"/>
      <c r="Y292" s="117">
        <f aca="true" t="shared" si="122" ref="Y292:Y304">+L292+W292</f>
        <v>1926000</v>
      </c>
      <c r="Z292" s="12"/>
      <c r="AA292" s="12">
        <f t="shared" si="112"/>
        <v>1926000</v>
      </c>
      <c r="AB292" s="12">
        <v>0.3</v>
      </c>
      <c r="AC292" s="12">
        <f t="shared" si="121"/>
        <v>5778</v>
      </c>
      <c r="AD292" s="42"/>
      <c r="AE292" s="12"/>
    </row>
    <row r="293" spans="1:31" s="46" customFormat="1" ht="21">
      <c r="A293" s="42" t="s">
        <v>0</v>
      </c>
      <c r="B293" s="42" t="s">
        <v>1</v>
      </c>
      <c r="C293" s="45" t="s">
        <v>1092</v>
      </c>
      <c r="D293" s="45" t="s">
        <v>724</v>
      </c>
      <c r="E293" s="29" t="s">
        <v>907</v>
      </c>
      <c r="F293" s="47" t="s">
        <v>140</v>
      </c>
      <c r="G293" s="42"/>
      <c r="H293" s="42"/>
      <c r="I293" s="44">
        <v>75</v>
      </c>
      <c r="J293" s="44">
        <f t="shared" si="118"/>
        <v>75</v>
      </c>
      <c r="K293" s="42">
        <v>20000</v>
      </c>
      <c r="L293" s="42">
        <f t="shared" si="29"/>
        <v>1500000</v>
      </c>
      <c r="M293" s="42"/>
      <c r="N293" s="42"/>
      <c r="O293" s="42"/>
      <c r="P293" s="45"/>
      <c r="Q293" s="42"/>
      <c r="R293" s="100"/>
      <c r="S293" s="42"/>
      <c r="T293" s="12">
        <f t="shared" si="119"/>
        <v>0</v>
      </c>
      <c r="U293" s="45"/>
      <c r="V293" s="12">
        <f>+T293*0</f>
        <v>0</v>
      </c>
      <c r="W293" s="12">
        <f t="shared" si="120"/>
        <v>0</v>
      </c>
      <c r="X293" s="116"/>
      <c r="Y293" s="117">
        <f t="shared" si="122"/>
        <v>1500000</v>
      </c>
      <c r="Z293" s="12"/>
      <c r="AA293" s="12">
        <f t="shared" si="112"/>
        <v>1500000</v>
      </c>
      <c r="AB293" s="12">
        <v>0.3</v>
      </c>
      <c r="AC293" s="12">
        <f t="shared" si="121"/>
        <v>4500</v>
      </c>
      <c r="AD293" s="42"/>
      <c r="AE293" s="12"/>
    </row>
    <row r="294" spans="1:31" s="46" customFormat="1" ht="21">
      <c r="A294" s="42" t="s">
        <v>0</v>
      </c>
      <c r="B294" s="42" t="s">
        <v>1</v>
      </c>
      <c r="C294" s="45" t="s">
        <v>1093</v>
      </c>
      <c r="D294" s="45" t="s">
        <v>725</v>
      </c>
      <c r="E294" s="29" t="s">
        <v>907</v>
      </c>
      <c r="F294" s="47" t="s">
        <v>140</v>
      </c>
      <c r="G294" s="42"/>
      <c r="H294" s="42"/>
      <c r="I294" s="44">
        <v>74.4</v>
      </c>
      <c r="J294" s="44">
        <f t="shared" si="118"/>
        <v>74.4</v>
      </c>
      <c r="K294" s="42">
        <v>20000</v>
      </c>
      <c r="L294" s="42">
        <f t="shared" si="29"/>
        <v>1488000</v>
      </c>
      <c r="M294" s="42"/>
      <c r="N294" s="42"/>
      <c r="O294" s="42"/>
      <c r="P294" s="45"/>
      <c r="Q294" s="42"/>
      <c r="R294" s="100"/>
      <c r="S294" s="42"/>
      <c r="T294" s="12">
        <f t="shared" si="119"/>
        <v>0</v>
      </c>
      <c r="U294" s="45"/>
      <c r="V294" s="12">
        <f>+T294*0</f>
        <v>0</v>
      </c>
      <c r="W294" s="12">
        <f t="shared" si="120"/>
        <v>0</v>
      </c>
      <c r="X294" s="116"/>
      <c r="Y294" s="117">
        <f t="shared" si="122"/>
        <v>1488000</v>
      </c>
      <c r="Z294" s="12"/>
      <c r="AA294" s="12">
        <f t="shared" si="112"/>
        <v>1488000</v>
      </c>
      <c r="AB294" s="12">
        <v>0.3</v>
      </c>
      <c r="AC294" s="12">
        <f t="shared" si="121"/>
        <v>4464</v>
      </c>
      <c r="AD294" s="42"/>
      <c r="AE294" s="12"/>
    </row>
    <row r="295" spans="1:31" s="46" customFormat="1" ht="21">
      <c r="A295" s="42" t="s">
        <v>0</v>
      </c>
      <c r="B295" s="42" t="s">
        <v>1</v>
      </c>
      <c r="C295" s="45" t="s">
        <v>1094</v>
      </c>
      <c r="D295" s="45" t="s">
        <v>726</v>
      </c>
      <c r="E295" s="29" t="s">
        <v>907</v>
      </c>
      <c r="F295" s="47" t="s">
        <v>137</v>
      </c>
      <c r="G295" s="42"/>
      <c r="H295" s="42">
        <v>1</v>
      </c>
      <c r="I295" s="44">
        <v>20.7</v>
      </c>
      <c r="J295" s="44">
        <f t="shared" si="118"/>
        <v>120.7</v>
      </c>
      <c r="K295" s="42">
        <v>56000</v>
      </c>
      <c r="L295" s="42">
        <f t="shared" si="29"/>
        <v>6759200</v>
      </c>
      <c r="M295" s="42"/>
      <c r="N295" s="42" t="s">
        <v>184</v>
      </c>
      <c r="O295" s="101" t="s">
        <v>446</v>
      </c>
      <c r="P295" s="45">
        <v>2</v>
      </c>
      <c r="Q295" s="100">
        <f>168*2</f>
        <v>336</v>
      </c>
      <c r="R295" s="100"/>
      <c r="S295" s="42">
        <v>7550</v>
      </c>
      <c r="T295" s="12">
        <f t="shared" si="119"/>
        <v>2536800</v>
      </c>
      <c r="U295" s="102" t="s">
        <v>84</v>
      </c>
      <c r="V295" s="12">
        <f>+T295*0.2</f>
        <v>507360</v>
      </c>
      <c r="W295" s="12">
        <f t="shared" si="120"/>
        <v>2029440</v>
      </c>
      <c r="X295" s="116"/>
      <c r="Y295" s="117">
        <f t="shared" si="122"/>
        <v>8788640</v>
      </c>
      <c r="Z295" s="12"/>
      <c r="AA295" s="12">
        <f t="shared" si="112"/>
        <v>8788640</v>
      </c>
      <c r="AB295" s="12">
        <v>0.02</v>
      </c>
      <c r="AC295" s="12">
        <f t="shared" si="121"/>
        <v>1757.728</v>
      </c>
      <c r="AD295" s="42"/>
      <c r="AE295" s="12"/>
    </row>
    <row r="296" spans="1:31" s="46" customFormat="1" ht="21">
      <c r="A296" s="42" t="s">
        <v>0</v>
      </c>
      <c r="B296" s="42" t="s">
        <v>1</v>
      </c>
      <c r="C296" s="45" t="s">
        <v>1095</v>
      </c>
      <c r="D296" s="45" t="s">
        <v>727</v>
      </c>
      <c r="E296" s="29" t="s">
        <v>907</v>
      </c>
      <c r="F296" s="47" t="s">
        <v>143</v>
      </c>
      <c r="G296" s="42"/>
      <c r="H296" s="42"/>
      <c r="I296" s="44">
        <v>44.3</v>
      </c>
      <c r="J296" s="44">
        <f t="shared" si="118"/>
        <v>44.3</v>
      </c>
      <c r="K296" s="42">
        <v>4000</v>
      </c>
      <c r="L296" s="42">
        <f aca="true" t="shared" si="123" ref="L296:L304">+K296*J296</f>
        <v>177200</v>
      </c>
      <c r="M296" s="42"/>
      <c r="N296" s="42" t="s">
        <v>117</v>
      </c>
      <c r="O296" s="101" t="s">
        <v>446</v>
      </c>
      <c r="P296" s="45" t="s">
        <v>143</v>
      </c>
      <c r="Q296" s="42">
        <v>180</v>
      </c>
      <c r="R296" s="100"/>
      <c r="S296" s="42">
        <v>2500</v>
      </c>
      <c r="T296" s="12">
        <f t="shared" si="119"/>
        <v>450000</v>
      </c>
      <c r="U296" s="45" t="s">
        <v>73</v>
      </c>
      <c r="V296" s="12">
        <f>+T296*0.05</f>
        <v>22500</v>
      </c>
      <c r="W296" s="12">
        <f t="shared" si="120"/>
        <v>427500</v>
      </c>
      <c r="X296" s="116"/>
      <c r="Y296" s="117">
        <f t="shared" si="122"/>
        <v>604700</v>
      </c>
      <c r="Z296" s="12"/>
      <c r="AA296" s="12">
        <f t="shared" si="112"/>
        <v>604700</v>
      </c>
      <c r="AB296" s="12">
        <v>0.3</v>
      </c>
      <c r="AC296" s="12">
        <f t="shared" si="121"/>
        <v>1814.1</v>
      </c>
      <c r="AD296" s="42"/>
      <c r="AE296" s="12"/>
    </row>
    <row r="297" spans="1:31" s="46" customFormat="1" ht="21">
      <c r="A297" s="42" t="s">
        <v>0</v>
      </c>
      <c r="B297" s="42" t="s">
        <v>1</v>
      </c>
      <c r="C297" s="45" t="s">
        <v>1096</v>
      </c>
      <c r="D297" s="45" t="s">
        <v>728</v>
      </c>
      <c r="E297" s="29" t="s">
        <v>907</v>
      </c>
      <c r="F297" s="47" t="s">
        <v>143</v>
      </c>
      <c r="G297" s="42"/>
      <c r="H297" s="42"/>
      <c r="I297" s="44">
        <v>34.1</v>
      </c>
      <c r="J297" s="44">
        <f t="shared" si="118"/>
        <v>34.1</v>
      </c>
      <c r="K297" s="42">
        <v>4000</v>
      </c>
      <c r="L297" s="42">
        <f t="shared" si="123"/>
        <v>136400</v>
      </c>
      <c r="M297" s="42"/>
      <c r="N297" s="42"/>
      <c r="O297" s="42"/>
      <c r="P297" s="45"/>
      <c r="Q297" s="42"/>
      <c r="R297" s="100"/>
      <c r="S297" s="42"/>
      <c r="T297" s="12">
        <f t="shared" si="119"/>
        <v>0</v>
      </c>
      <c r="U297" s="45"/>
      <c r="V297" s="12">
        <f aca="true" t="shared" si="124" ref="V297:V304">+T297*0</f>
        <v>0</v>
      </c>
      <c r="W297" s="12">
        <f t="shared" si="120"/>
        <v>0</v>
      </c>
      <c r="X297" s="116"/>
      <c r="Y297" s="117">
        <f t="shared" si="122"/>
        <v>136400</v>
      </c>
      <c r="Z297" s="12"/>
      <c r="AA297" s="12">
        <f t="shared" si="112"/>
        <v>136400</v>
      </c>
      <c r="AB297" s="12">
        <v>0.3</v>
      </c>
      <c r="AC297" s="12">
        <f t="shared" si="121"/>
        <v>409.2</v>
      </c>
      <c r="AD297" s="42"/>
      <c r="AE297" s="12"/>
    </row>
    <row r="298" spans="1:31" s="46" customFormat="1" ht="21">
      <c r="A298" s="42" t="s">
        <v>0</v>
      </c>
      <c r="B298" s="42" t="s">
        <v>1</v>
      </c>
      <c r="C298" s="45" t="s">
        <v>1097</v>
      </c>
      <c r="D298" s="45" t="s">
        <v>729</v>
      </c>
      <c r="E298" s="29" t="s">
        <v>907</v>
      </c>
      <c r="F298" s="47" t="s">
        <v>143</v>
      </c>
      <c r="G298" s="42"/>
      <c r="H298" s="42"/>
      <c r="I298" s="44">
        <v>16.5</v>
      </c>
      <c r="J298" s="44">
        <f t="shared" si="118"/>
        <v>16.5</v>
      </c>
      <c r="K298" s="42">
        <v>4000</v>
      </c>
      <c r="L298" s="42">
        <f t="shared" si="123"/>
        <v>66000</v>
      </c>
      <c r="M298" s="42"/>
      <c r="N298" s="42"/>
      <c r="O298" s="42"/>
      <c r="P298" s="45"/>
      <c r="Q298" s="42"/>
      <c r="R298" s="100"/>
      <c r="S298" s="42"/>
      <c r="T298" s="12">
        <f t="shared" si="119"/>
        <v>0</v>
      </c>
      <c r="U298" s="45"/>
      <c r="V298" s="12">
        <f t="shared" si="124"/>
        <v>0</v>
      </c>
      <c r="W298" s="12">
        <f t="shared" si="120"/>
        <v>0</v>
      </c>
      <c r="X298" s="116"/>
      <c r="Y298" s="117">
        <f t="shared" si="122"/>
        <v>66000</v>
      </c>
      <c r="Z298" s="12"/>
      <c r="AA298" s="12">
        <f t="shared" si="112"/>
        <v>66000</v>
      </c>
      <c r="AB298" s="12">
        <v>0.3</v>
      </c>
      <c r="AC298" s="12">
        <f t="shared" si="121"/>
        <v>198</v>
      </c>
      <c r="AD298" s="42"/>
      <c r="AE298" s="12"/>
    </row>
    <row r="299" spans="1:31" s="46" customFormat="1" ht="21">
      <c r="A299" s="42" t="s">
        <v>0</v>
      </c>
      <c r="B299" s="42" t="s">
        <v>1</v>
      </c>
      <c r="C299" s="45" t="s">
        <v>1098</v>
      </c>
      <c r="D299" s="45" t="s">
        <v>730</v>
      </c>
      <c r="E299" s="29" t="s">
        <v>907</v>
      </c>
      <c r="F299" s="47" t="s">
        <v>143</v>
      </c>
      <c r="G299" s="42"/>
      <c r="H299" s="42"/>
      <c r="I299" s="44">
        <v>11.9</v>
      </c>
      <c r="J299" s="44">
        <f t="shared" si="118"/>
        <v>11.9</v>
      </c>
      <c r="K299" s="42">
        <v>80000</v>
      </c>
      <c r="L299" s="42">
        <f t="shared" si="123"/>
        <v>952000</v>
      </c>
      <c r="M299" s="42"/>
      <c r="N299" s="42"/>
      <c r="O299" s="42"/>
      <c r="P299" s="45"/>
      <c r="Q299" s="42"/>
      <c r="R299" s="100"/>
      <c r="S299" s="42"/>
      <c r="T299" s="12">
        <f t="shared" si="119"/>
        <v>0</v>
      </c>
      <c r="U299" s="45"/>
      <c r="V299" s="12">
        <f t="shared" si="124"/>
        <v>0</v>
      </c>
      <c r="W299" s="12">
        <f t="shared" si="120"/>
        <v>0</v>
      </c>
      <c r="X299" s="116"/>
      <c r="Y299" s="117">
        <f t="shared" si="122"/>
        <v>952000</v>
      </c>
      <c r="Z299" s="12"/>
      <c r="AA299" s="12">
        <f t="shared" si="112"/>
        <v>952000</v>
      </c>
      <c r="AB299" s="12">
        <v>0.3</v>
      </c>
      <c r="AC299" s="12">
        <f t="shared" si="121"/>
        <v>2856</v>
      </c>
      <c r="AD299" s="42"/>
      <c r="AE299" s="12"/>
    </row>
    <row r="300" spans="1:31" s="46" customFormat="1" ht="21">
      <c r="A300" s="42" t="s">
        <v>0</v>
      </c>
      <c r="B300" s="42" t="s">
        <v>1</v>
      </c>
      <c r="C300" s="45" t="s">
        <v>1099</v>
      </c>
      <c r="D300" s="45" t="s">
        <v>731</v>
      </c>
      <c r="E300" s="29" t="s">
        <v>907</v>
      </c>
      <c r="F300" s="47" t="s">
        <v>143</v>
      </c>
      <c r="G300" s="42"/>
      <c r="H300" s="42"/>
      <c r="I300" s="44">
        <v>11.9</v>
      </c>
      <c r="J300" s="44">
        <f t="shared" si="118"/>
        <v>11.9</v>
      </c>
      <c r="K300" s="42">
        <v>80000</v>
      </c>
      <c r="L300" s="42">
        <f t="shared" si="123"/>
        <v>952000</v>
      </c>
      <c r="M300" s="42"/>
      <c r="N300" s="42"/>
      <c r="O300" s="100"/>
      <c r="P300" s="45"/>
      <c r="Q300" s="100"/>
      <c r="R300" s="100"/>
      <c r="S300" s="42"/>
      <c r="T300" s="12">
        <f t="shared" si="119"/>
        <v>0</v>
      </c>
      <c r="U300" s="45"/>
      <c r="V300" s="12">
        <f t="shared" si="124"/>
        <v>0</v>
      </c>
      <c r="W300" s="12">
        <f t="shared" si="120"/>
        <v>0</v>
      </c>
      <c r="X300" s="116"/>
      <c r="Y300" s="117">
        <f t="shared" si="122"/>
        <v>952000</v>
      </c>
      <c r="Z300" s="12"/>
      <c r="AA300" s="12">
        <f t="shared" si="112"/>
        <v>952000</v>
      </c>
      <c r="AB300" s="12">
        <v>0.3</v>
      </c>
      <c r="AC300" s="12">
        <f t="shared" si="121"/>
        <v>2856</v>
      </c>
      <c r="AD300" s="42"/>
      <c r="AE300" s="12"/>
    </row>
    <row r="301" spans="1:31" s="46" customFormat="1" ht="21">
      <c r="A301" s="42" t="s">
        <v>0</v>
      </c>
      <c r="B301" s="42" t="s">
        <v>1</v>
      </c>
      <c r="C301" s="45" t="s">
        <v>1100</v>
      </c>
      <c r="D301" s="45" t="s">
        <v>732</v>
      </c>
      <c r="E301" s="29" t="s">
        <v>907</v>
      </c>
      <c r="F301" s="47" t="s">
        <v>143</v>
      </c>
      <c r="G301" s="42"/>
      <c r="H301" s="42"/>
      <c r="I301" s="44">
        <v>31.3</v>
      </c>
      <c r="J301" s="44">
        <f t="shared" si="118"/>
        <v>31.3</v>
      </c>
      <c r="K301" s="42">
        <v>80000</v>
      </c>
      <c r="L301" s="42">
        <f t="shared" si="123"/>
        <v>2504000</v>
      </c>
      <c r="M301" s="42"/>
      <c r="N301" s="42"/>
      <c r="O301" s="100"/>
      <c r="P301" s="45"/>
      <c r="Q301" s="100"/>
      <c r="R301" s="100"/>
      <c r="S301" s="42"/>
      <c r="T301" s="12">
        <f t="shared" si="119"/>
        <v>0</v>
      </c>
      <c r="U301" s="45"/>
      <c r="V301" s="12">
        <f t="shared" si="124"/>
        <v>0</v>
      </c>
      <c r="W301" s="12">
        <f t="shared" si="120"/>
        <v>0</v>
      </c>
      <c r="X301" s="116"/>
      <c r="Y301" s="117">
        <f t="shared" si="122"/>
        <v>2504000</v>
      </c>
      <c r="Z301" s="12"/>
      <c r="AA301" s="12">
        <f t="shared" si="112"/>
        <v>2504000</v>
      </c>
      <c r="AB301" s="12">
        <v>0.3</v>
      </c>
      <c r="AC301" s="12">
        <f t="shared" si="121"/>
        <v>7512</v>
      </c>
      <c r="AD301" s="42"/>
      <c r="AE301" s="12"/>
    </row>
    <row r="302" spans="1:31" s="46" customFormat="1" ht="21">
      <c r="A302" s="42" t="s">
        <v>0</v>
      </c>
      <c r="B302" s="42" t="s">
        <v>1</v>
      </c>
      <c r="C302" s="45" t="s">
        <v>1101</v>
      </c>
      <c r="D302" s="45" t="s">
        <v>733</v>
      </c>
      <c r="E302" s="29" t="s">
        <v>907</v>
      </c>
      <c r="F302" s="47" t="s">
        <v>143</v>
      </c>
      <c r="G302" s="42"/>
      <c r="H302" s="42"/>
      <c r="I302" s="44">
        <v>15.7</v>
      </c>
      <c r="J302" s="44">
        <f t="shared" si="118"/>
        <v>15.7</v>
      </c>
      <c r="K302" s="42">
        <v>80000</v>
      </c>
      <c r="L302" s="42">
        <f t="shared" si="123"/>
        <v>1256000</v>
      </c>
      <c r="M302" s="42"/>
      <c r="N302" s="42"/>
      <c r="O302" s="42"/>
      <c r="P302" s="45"/>
      <c r="Q302" s="42"/>
      <c r="R302" s="100"/>
      <c r="S302" s="42"/>
      <c r="T302" s="12">
        <f t="shared" si="119"/>
        <v>0</v>
      </c>
      <c r="U302" s="45"/>
      <c r="V302" s="12">
        <f t="shared" si="124"/>
        <v>0</v>
      </c>
      <c r="W302" s="12">
        <f t="shared" si="120"/>
        <v>0</v>
      </c>
      <c r="X302" s="116"/>
      <c r="Y302" s="117">
        <f t="shared" si="122"/>
        <v>1256000</v>
      </c>
      <c r="Z302" s="12"/>
      <c r="AA302" s="12">
        <f t="shared" si="112"/>
        <v>1256000</v>
      </c>
      <c r="AB302" s="12">
        <v>0.3</v>
      </c>
      <c r="AC302" s="12">
        <f t="shared" si="121"/>
        <v>3768</v>
      </c>
      <c r="AD302" s="42"/>
      <c r="AE302" s="12"/>
    </row>
    <row r="303" spans="1:31" s="46" customFormat="1" ht="21">
      <c r="A303" s="42" t="s">
        <v>0</v>
      </c>
      <c r="B303" s="42" t="s">
        <v>1</v>
      </c>
      <c r="C303" s="45" t="s">
        <v>1102</v>
      </c>
      <c r="D303" s="45" t="s">
        <v>734</v>
      </c>
      <c r="E303" s="29" t="s">
        <v>907</v>
      </c>
      <c r="F303" s="47" t="s">
        <v>143</v>
      </c>
      <c r="G303" s="42"/>
      <c r="H303" s="42"/>
      <c r="I303" s="44">
        <v>15.7</v>
      </c>
      <c r="J303" s="44">
        <f t="shared" si="118"/>
        <v>15.7</v>
      </c>
      <c r="K303" s="42">
        <v>80000</v>
      </c>
      <c r="L303" s="42">
        <f t="shared" si="123"/>
        <v>1256000</v>
      </c>
      <c r="M303" s="42"/>
      <c r="N303" s="42"/>
      <c r="O303" s="42"/>
      <c r="P303" s="45"/>
      <c r="Q303" s="42"/>
      <c r="R303" s="100"/>
      <c r="S303" s="42"/>
      <c r="T303" s="12">
        <f t="shared" si="119"/>
        <v>0</v>
      </c>
      <c r="U303" s="45"/>
      <c r="V303" s="12">
        <f t="shared" si="124"/>
        <v>0</v>
      </c>
      <c r="W303" s="12">
        <f t="shared" si="120"/>
        <v>0</v>
      </c>
      <c r="X303" s="116"/>
      <c r="Y303" s="117">
        <f t="shared" si="122"/>
        <v>1256000</v>
      </c>
      <c r="Z303" s="12"/>
      <c r="AA303" s="12">
        <f t="shared" si="112"/>
        <v>1256000</v>
      </c>
      <c r="AB303" s="12">
        <v>0.3</v>
      </c>
      <c r="AC303" s="12">
        <f t="shared" si="121"/>
        <v>3768</v>
      </c>
      <c r="AD303" s="42"/>
      <c r="AE303" s="12"/>
    </row>
    <row r="304" spans="1:31" s="46" customFormat="1" ht="21">
      <c r="A304" s="42" t="s">
        <v>0</v>
      </c>
      <c r="B304" s="42" t="s">
        <v>1</v>
      </c>
      <c r="C304" s="45" t="s">
        <v>1103</v>
      </c>
      <c r="D304" s="45" t="s">
        <v>735</v>
      </c>
      <c r="E304" s="30" t="s">
        <v>908</v>
      </c>
      <c r="F304" s="47" t="s">
        <v>143</v>
      </c>
      <c r="G304" s="42"/>
      <c r="H304" s="42"/>
      <c r="I304" s="44">
        <v>15.7</v>
      </c>
      <c r="J304" s="44">
        <f t="shared" si="118"/>
        <v>15.7</v>
      </c>
      <c r="K304" s="42">
        <v>80000</v>
      </c>
      <c r="L304" s="42">
        <f t="shared" si="123"/>
        <v>1256000</v>
      </c>
      <c r="M304" s="42"/>
      <c r="N304" s="42"/>
      <c r="O304" s="100"/>
      <c r="P304" s="45"/>
      <c r="Q304" s="100"/>
      <c r="R304" s="100"/>
      <c r="S304" s="42"/>
      <c r="T304" s="12">
        <f t="shared" si="119"/>
        <v>0</v>
      </c>
      <c r="U304" s="45"/>
      <c r="V304" s="12">
        <f t="shared" si="124"/>
        <v>0</v>
      </c>
      <c r="W304" s="12">
        <f t="shared" si="120"/>
        <v>0</v>
      </c>
      <c r="X304" s="116"/>
      <c r="Y304" s="117">
        <f t="shared" si="122"/>
        <v>1256000</v>
      </c>
      <c r="Z304" s="12"/>
      <c r="AA304" s="12">
        <f>+Y304-Z304</f>
        <v>1256000</v>
      </c>
      <c r="AB304" s="12">
        <v>0.3</v>
      </c>
      <c r="AC304" s="12">
        <f t="shared" si="121"/>
        <v>3768</v>
      </c>
      <c r="AD304" s="42"/>
      <c r="AE304" s="12"/>
    </row>
    <row r="305" spans="1:31" s="46" customFormat="1" ht="21">
      <c r="A305" s="42" t="s">
        <v>0</v>
      </c>
      <c r="B305" s="42" t="s">
        <v>1</v>
      </c>
      <c r="C305" s="45" t="s">
        <v>1104</v>
      </c>
      <c r="D305" s="45" t="s">
        <v>736</v>
      </c>
      <c r="E305" s="29" t="s">
        <v>907</v>
      </c>
      <c r="F305" s="47" t="s">
        <v>167</v>
      </c>
      <c r="G305" s="42"/>
      <c r="H305" s="42"/>
      <c r="I305" s="44">
        <v>63.5</v>
      </c>
      <c r="J305" s="44">
        <f t="shared" si="118"/>
        <v>63.5</v>
      </c>
      <c r="K305" s="42">
        <v>26000</v>
      </c>
      <c r="L305" s="42">
        <f aca="true" t="shared" si="125" ref="L305:L313">+K305*J305</f>
        <v>1651000</v>
      </c>
      <c r="M305" s="42">
        <v>1</v>
      </c>
      <c r="N305" s="42" t="s">
        <v>60</v>
      </c>
      <c r="O305" s="101" t="s">
        <v>446</v>
      </c>
      <c r="P305" s="45">
        <v>2</v>
      </c>
      <c r="Q305" s="100">
        <v>96</v>
      </c>
      <c r="R305" s="100">
        <v>26.67</v>
      </c>
      <c r="S305" s="42">
        <v>7550</v>
      </c>
      <c r="T305" s="12">
        <f t="shared" si="119"/>
        <v>724800</v>
      </c>
      <c r="U305" s="102" t="s">
        <v>84</v>
      </c>
      <c r="V305" s="12">
        <f>+T305*0.2</f>
        <v>144960</v>
      </c>
      <c r="W305" s="12">
        <f t="shared" si="120"/>
        <v>579840</v>
      </c>
      <c r="X305" s="116"/>
      <c r="Y305" s="117">
        <f>+L305*(R305/100)+W305</f>
        <v>1020161.7</v>
      </c>
      <c r="Z305" s="12"/>
      <c r="AA305" s="12">
        <f aca="true" t="shared" si="126" ref="AA305:AA313">+Y305-Z305</f>
        <v>1020161.7</v>
      </c>
      <c r="AB305" s="12">
        <v>0.02</v>
      </c>
      <c r="AC305" s="12">
        <f aca="true" t="shared" si="127" ref="AC305:AC313">+AA305*AB305/100</f>
        <v>204.03234</v>
      </c>
      <c r="AD305" s="42"/>
      <c r="AE305" s="12"/>
    </row>
    <row r="306" spans="1:31" s="46" customFormat="1" ht="21">
      <c r="A306" s="42" t="s">
        <v>0</v>
      </c>
      <c r="B306" s="42"/>
      <c r="C306" s="45"/>
      <c r="D306" s="45"/>
      <c r="E306" s="29"/>
      <c r="F306" s="47"/>
      <c r="G306" s="42"/>
      <c r="H306" s="42"/>
      <c r="I306" s="44"/>
      <c r="J306" s="44">
        <f t="shared" si="118"/>
        <v>0</v>
      </c>
      <c r="K306" s="42"/>
      <c r="L306" s="42">
        <f t="shared" si="125"/>
        <v>0</v>
      </c>
      <c r="M306" s="42">
        <v>2</v>
      </c>
      <c r="N306" s="42" t="s">
        <v>184</v>
      </c>
      <c r="O306" s="101" t="s">
        <v>446</v>
      </c>
      <c r="P306" s="45">
        <v>2</v>
      </c>
      <c r="Q306" s="100">
        <f>96*2</f>
        <v>192</v>
      </c>
      <c r="R306" s="100">
        <v>53.33</v>
      </c>
      <c r="S306" s="42">
        <v>7550</v>
      </c>
      <c r="T306" s="12">
        <f t="shared" si="119"/>
        <v>1449600</v>
      </c>
      <c r="U306" s="102" t="s">
        <v>84</v>
      </c>
      <c r="V306" s="12">
        <f>+T306*0.2</f>
        <v>289920</v>
      </c>
      <c r="W306" s="12">
        <f t="shared" si="120"/>
        <v>1159680</v>
      </c>
      <c r="X306" s="116"/>
      <c r="Y306" s="117">
        <f>+L305*(R306/100)+W306</f>
        <v>2040158.3</v>
      </c>
      <c r="Z306" s="12"/>
      <c r="AA306" s="12">
        <f t="shared" si="126"/>
        <v>2040158.3</v>
      </c>
      <c r="AB306" s="12">
        <v>0.02</v>
      </c>
      <c r="AC306" s="12">
        <f t="shared" si="127"/>
        <v>408.03166000000004</v>
      </c>
      <c r="AD306" s="42"/>
      <c r="AE306" s="12"/>
    </row>
    <row r="307" spans="1:31" s="46" customFormat="1" ht="21">
      <c r="A307" s="42" t="s">
        <v>0</v>
      </c>
      <c r="B307" s="42"/>
      <c r="C307" s="45"/>
      <c r="D307" s="45"/>
      <c r="E307" s="29"/>
      <c r="F307" s="47"/>
      <c r="G307" s="42"/>
      <c r="H307" s="42"/>
      <c r="I307" s="44"/>
      <c r="J307" s="44">
        <f t="shared" si="118"/>
        <v>0</v>
      </c>
      <c r="K307" s="42"/>
      <c r="L307" s="42">
        <f t="shared" si="125"/>
        <v>0</v>
      </c>
      <c r="M307" s="42">
        <v>3</v>
      </c>
      <c r="N307" s="42" t="s">
        <v>60</v>
      </c>
      <c r="O307" s="101" t="s">
        <v>446</v>
      </c>
      <c r="P307" s="45">
        <v>3</v>
      </c>
      <c r="Q307" s="100">
        <v>72</v>
      </c>
      <c r="R307" s="100">
        <v>20</v>
      </c>
      <c r="S307" s="42">
        <v>7550</v>
      </c>
      <c r="T307" s="12">
        <f t="shared" si="119"/>
        <v>543600</v>
      </c>
      <c r="U307" s="45" t="s">
        <v>379</v>
      </c>
      <c r="V307" s="12">
        <f>+T307*0.03</f>
        <v>16308</v>
      </c>
      <c r="W307" s="12">
        <f t="shared" si="120"/>
        <v>527292</v>
      </c>
      <c r="X307" s="116"/>
      <c r="Y307" s="117">
        <f>+L305*(R307/100)+W307</f>
        <v>857492</v>
      </c>
      <c r="Z307" s="12"/>
      <c r="AA307" s="12">
        <f t="shared" si="126"/>
        <v>857492</v>
      </c>
      <c r="AB307" s="12">
        <v>0.3</v>
      </c>
      <c r="AC307" s="12">
        <f t="shared" si="127"/>
        <v>2572.4759999999997</v>
      </c>
      <c r="AD307" s="42"/>
      <c r="AE307" s="12"/>
    </row>
    <row r="308" spans="1:31" s="46" customFormat="1" ht="21">
      <c r="A308" s="42" t="s">
        <v>0</v>
      </c>
      <c r="B308" s="42" t="s">
        <v>1</v>
      </c>
      <c r="C308" s="45" t="s">
        <v>1105</v>
      </c>
      <c r="D308" s="45" t="s">
        <v>737</v>
      </c>
      <c r="E308" s="29" t="s">
        <v>907</v>
      </c>
      <c r="F308" s="47" t="s">
        <v>177</v>
      </c>
      <c r="G308" s="42"/>
      <c r="H308" s="42"/>
      <c r="I308" s="44">
        <v>82</v>
      </c>
      <c r="J308" s="44">
        <f t="shared" si="118"/>
        <v>82</v>
      </c>
      <c r="K308" s="42">
        <v>8000</v>
      </c>
      <c r="L308" s="42">
        <f t="shared" si="125"/>
        <v>656000</v>
      </c>
      <c r="M308" s="42"/>
      <c r="N308" s="42"/>
      <c r="O308" s="42"/>
      <c r="P308" s="45"/>
      <c r="Q308" s="42"/>
      <c r="R308" s="100"/>
      <c r="S308" s="42"/>
      <c r="T308" s="12">
        <f t="shared" si="119"/>
        <v>0</v>
      </c>
      <c r="U308" s="45"/>
      <c r="V308" s="12">
        <f aca="true" t="shared" si="128" ref="V308:V350">+T308*0</f>
        <v>0</v>
      </c>
      <c r="W308" s="12">
        <f t="shared" si="120"/>
        <v>0</v>
      </c>
      <c r="X308" s="116"/>
      <c r="Y308" s="117">
        <f aca="true" t="shared" si="129" ref="Y308:Y369">+L308+W308</f>
        <v>656000</v>
      </c>
      <c r="Z308" s="12">
        <f>+Y308</f>
        <v>656000</v>
      </c>
      <c r="AA308" s="12">
        <f t="shared" si="126"/>
        <v>0</v>
      </c>
      <c r="AB308" s="12"/>
      <c r="AC308" s="12">
        <f t="shared" si="127"/>
        <v>0</v>
      </c>
      <c r="AD308" s="42"/>
      <c r="AE308" s="12"/>
    </row>
    <row r="309" spans="1:31" s="46" customFormat="1" ht="21">
      <c r="A309" s="42" t="s">
        <v>0</v>
      </c>
      <c r="B309" s="42" t="s">
        <v>1</v>
      </c>
      <c r="C309" s="45" t="s">
        <v>1106</v>
      </c>
      <c r="D309" s="45" t="s">
        <v>738</v>
      </c>
      <c r="E309" s="29" t="s">
        <v>907</v>
      </c>
      <c r="F309" s="47" t="s">
        <v>177</v>
      </c>
      <c r="G309" s="42"/>
      <c r="H309" s="42"/>
      <c r="I309" s="44">
        <v>77.4</v>
      </c>
      <c r="J309" s="44">
        <f t="shared" si="118"/>
        <v>77.4</v>
      </c>
      <c r="K309" s="42">
        <v>8000</v>
      </c>
      <c r="L309" s="42">
        <f t="shared" si="125"/>
        <v>619200</v>
      </c>
      <c r="M309" s="42"/>
      <c r="N309" s="42"/>
      <c r="O309" s="42"/>
      <c r="P309" s="45"/>
      <c r="Q309" s="42"/>
      <c r="R309" s="100"/>
      <c r="S309" s="42"/>
      <c r="T309" s="12">
        <f t="shared" si="119"/>
        <v>0</v>
      </c>
      <c r="U309" s="45"/>
      <c r="V309" s="12">
        <f t="shared" si="128"/>
        <v>0</v>
      </c>
      <c r="W309" s="12">
        <f t="shared" si="120"/>
        <v>0</v>
      </c>
      <c r="X309" s="116"/>
      <c r="Y309" s="117">
        <f t="shared" si="129"/>
        <v>619200</v>
      </c>
      <c r="Z309" s="12">
        <f aca="true" t="shared" si="130" ref="Z309:Z328">+Y309</f>
        <v>619200</v>
      </c>
      <c r="AA309" s="12">
        <f t="shared" si="126"/>
        <v>0</v>
      </c>
      <c r="AB309" s="12"/>
      <c r="AC309" s="12">
        <f t="shared" si="127"/>
        <v>0</v>
      </c>
      <c r="AD309" s="42"/>
      <c r="AE309" s="12"/>
    </row>
    <row r="310" spans="1:31" s="46" customFormat="1" ht="21">
      <c r="A310" s="42" t="s">
        <v>0</v>
      </c>
      <c r="B310" s="42" t="s">
        <v>1</v>
      </c>
      <c r="C310" s="45" t="s">
        <v>1107</v>
      </c>
      <c r="D310" s="45" t="s">
        <v>739</v>
      </c>
      <c r="E310" s="29" t="s">
        <v>907</v>
      </c>
      <c r="F310" s="47" t="s">
        <v>177</v>
      </c>
      <c r="G310" s="42"/>
      <c r="H310" s="42"/>
      <c r="I310" s="44">
        <v>36.1</v>
      </c>
      <c r="J310" s="44">
        <f t="shared" si="118"/>
        <v>36.1</v>
      </c>
      <c r="K310" s="42">
        <v>8000</v>
      </c>
      <c r="L310" s="42">
        <f t="shared" si="125"/>
        <v>288800</v>
      </c>
      <c r="M310" s="42"/>
      <c r="N310" s="42"/>
      <c r="O310" s="42"/>
      <c r="P310" s="45"/>
      <c r="Q310" s="42"/>
      <c r="R310" s="100"/>
      <c r="S310" s="42"/>
      <c r="T310" s="12">
        <f t="shared" si="119"/>
        <v>0</v>
      </c>
      <c r="U310" s="45"/>
      <c r="V310" s="12">
        <f t="shared" si="128"/>
        <v>0</v>
      </c>
      <c r="W310" s="12">
        <f t="shared" si="120"/>
        <v>0</v>
      </c>
      <c r="X310" s="116"/>
      <c r="Y310" s="117">
        <f t="shared" si="129"/>
        <v>288800</v>
      </c>
      <c r="Z310" s="12">
        <f t="shared" si="130"/>
        <v>288800</v>
      </c>
      <c r="AA310" s="12">
        <f t="shared" si="126"/>
        <v>0</v>
      </c>
      <c r="AB310" s="12"/>
      <c r="AC310" s="12">
        <f t="shared" si="127"/>
        <v>0</v>
      </c>
      <c r="AD310" s="42"/>
      <c r="AE310" s="12"/>
    </row>
    <row r="311" spans="1:31" s="46" customFormat="1" ht="21">
      <c r="A311" s="42" t="s">
        <v>0</v>
      </c>
      <c r="B311" s="42" t="s">
        <v>1</v>
      </c>
      <c r="C311" s="45" t="s">
        <v>1108</v>
      </c>
      <c r="D311" s="45" t="s">
        <v>740</v>
      </c>
      <c r="E311" s="29" t="s">
        <v>907</v>
      </c>
      <c r="F311" s="47" t="s">
        <v>177</v>
      </c>
      <c r="G311" s="42"/>
      <c r="H311" s="42"/>
      <c r="I311" s="44">
        <v>74.1</v>
      </c>
      <c r="J311" s="44">
        <f t="shared" si="118"/>
        <v>74.1</v>
      </c>
      <c r="K311" s="42">
        <v>8000</v>
      </c>
      <c r="L311" s="42">
        <f t="shared" si="125"/>
        <v>592800</v>
      </c>
      <c r="M311" s="42"/>
      <c r="N311" s="42"/>
      <c r="O311" s="100"/>
      <c r="P311" s="45"/>
      <c r="Q311" s="100"/>
      <c r="R311" s="100"/>
      <c r="S311" s="42"/>
      <c r="T311" s="12">
        <f t="shared" si="119"/>
        <v>0</v>
      </c>
      <c r="U311" s="45"/>
      <c r="V311" s="12">
        <f t="shared" si="128"/>
        <v>0</v>
      </c>
      <c r="W311" s="12">
        <f t="shared" si="120"/>
        <v>0</v>
      </c>
      <c r="X311" s="116"/>
      <c r="Y311" s="117">
        <f t="shared" si="129"/>
        <v>592800</v>
      </c>
      <c r="Z311" s="12">
        <f t="shared" si="130"/>
        <v>592800</v>
      </c>
      <c r="AA311" s="12">
        <f t="shared" si="126"/>
        <v>0</v>
      </c>
      <c r="AB311" s="12"/>
      <c r="AC311" s="12">
        <f t="shared" si="127"/>
        <v>0</v>
      </c>
      <c r="AD311" s="42"/>
      <c r="AE311" s="12"/>
    </row>
    <row r="312" spans="1:31" s="46" customFormat="1" ht="21">
      <c r="A312" s="42" t="s">
        <v>0</v>
      </c>
      <c r="B312" s="42" t="s">
        <v>1</v>
      </c>
      <c r="C312" s="45" t="s">
        <v>1109</v>
      </c>
      <c r="D312" s="45" t="s">
        <v>741</v>
      </c>
      <c r="E312" s="29" t="s">
        <v>907</v>
      </c>
      <c r="F312" s="47" t="s">
        <v>177</v>
      </c>
      <c r="G312" s="42"/>
      <c r="H312" s="42"/>
      <c r="I312" s="44">
        <v>70.3</v>
      </c>
      <c r="J312" s="44">
        <f t="shared" si="118"/>
        <v>70.3</v>
      </c>
      <c r="K312" s="42">
        <v>8000</v>
      </c>
      <c r="L312" s="42">
        <f t="shared" si="125"/>
        <v>562400</v>
      </c>
      <c r="M312" s="42"/>
      <c r="N312" s="42"/>
      <c r="O312" s="100"/>
      <c r="P312" s="45"/>
      <c r="Q312" s="100"/>
      <c r="R312" s="100"/>
      <c r="S312" s="42"/>
      <c r="T312" s="12">
        <f t="shared" si="119"/>
        <v>0</v>
      </c>
      <c r="U312" s="45"/>
      <c r="V312" s="12">
        <f t="shared" si="128"/>
        <v>0</v>
      </c>
      <c r="W312" s="12">
        <f t="shared" si="120"/>
        <v>0</v>
      </c>
      <c r="X312" s="116"/>
      <c r="Y312" s="117">
        <f t="shared" si="129"/>
        <v>562400</v>
      </c>
      <c r="Z312" s="12">
        <f t="shared" si="130"/>
        <v>562400</v>
      </c>
      <c r="AA312" s="12">
        <f t="shared" si="126"/>
        <v>0</v>
      </c>
      <c r="AB312" s="12"/>
      <c r="AC312" s="12">
        <f t="shared" si="127"/>
        <v>0</v>
      </c>
      <c r="AD312" s="42"/>
      <c r="AE312" s="12"/>
    </row>
    <row r="313" spans="1:31" s="46" customFormat="1" ht="21">
      <c r="A313" s="42" t="s">
        <v>0</v>
      </c>
      <c r="B313" s="42" t="s">
        <v>1</v>
      </c>
      <c r="C313" s="45" t="s">
        <v>1110</v>
      </c>
      <c r="D313" s="45" t="s">
        <v>742</v>
      </c>
      <c r="E313" s="29" t="s">
        <v>907</v>
      </c>
      <c r="F313" s="47" t="s">
        <v>177</v>
      </c>
      <c r="G313" s="42"/>
      <c r="H313" s="42">
        <v>1</v>
      </c>
      <c r="I313" s="44">
        <v>9.5</v>
      </c>
      <c r="J313" s="44">
        <f t="shared" si="118"/>
        <v>109.5</v>
      </c>
      <c r="K313" s="42">
        <v>8000</v>
      </c>
      <c r="L313" s="42">
        <f t="shared" si="125"/>
        <v>876000</v>
      </c>
      <c r="M313" s="42"/>
      <c r="N313" s="42"/>
      <c r="O313" s="42"/>
      <c r="P313" s="45"/>
      <c r="Q313" s="42"/>
      <c r="R313" s="100"/>
      <c r="S313" s="42"/>
      <c r="T313" s="12">
        <f t="shared" si="119"/>
        <v>0</v>
      </c>
      <c r="U313" s="45"/>
      <c r="V313" s="12">
        <f t="shared" si="128"/>
        <v>0</v>
      </c>
      <c r="W313" s="12">
        <f t="shared" si="120"/>
        <v>0</v>
      </c>
      <c r="X313" s="116"/>
      <c r="Y313" s="117">
        <f t="shared" si="129"/>
        <v>876000</v>
      </c>
      <c r="Z313" s="12">
        <f t="shared" si="130"/>
        <v>876000</v>
      </c>
      <c r="AA313" s="12">
        <f t="shared" si="126"/>
        <v>0</v>
      </c>
      <c r="AB313" s="12"/>
      <c r="AC313" s="12">
        <f t="shared" si="127"/>
        <v>0</v>
      </c>
      <c r="AD313" s="42"/>
      <c r="AE313" s="12"/>
    </row>
    <row r="314" spans="1:31" s="46" customFormat="1" ht="21">
      <c r="A314" s="42" t="s">
        <v>0</v>
      </c>
      <c r="B314" s="42" t="s">
        <v>1</v>
      </c>
      <c r="C314" s="45" t="s">
        <v>1111</v>
      </c>
      <c r="D314" s="45" t="s">
        <v>743</v>
      </c>
      <c r="E314" s="29" t="s">
        <v>907</v>
      </c>
      <c r="F314" s="47" t="s">
        <v>177</v>
      </c>
      <c r="G314" s="42"/>
      <c r="H314" s="42"/>
      <c r="I314" s="44">
        <v>70.9</v>
      </c>
      <c r="J314" s="44">
        <f t="shared" si="118"/>
        <v>70.9</v>
      </c>
      <c r="K314" s="42">
        <v>8000</v>
      </c>
      <c r="L314" s="42">
        <f aca="true" t="shared" si="131" ref="L314:L323">+K314*J314</f>
        <v>567200</v>
      </c>
      <c r="M314" s="42"/>
      <c r="N314" s="42"/>
      <c r="O314" s="100"/>
      <c r="P314" s="45"/>
      <c r="Q314" s="100"/>
      <c r="R314" s="100"/>
      <c r="S314" s="42"/>
      <c r="T314" s="12">
        <f t="shared" si="119"/>
        <v>0</v>
      </c>
      <c r="U314" s="45"/>
      <c r="V314" s="12">
        <f t="shared" si="128"/>
        <v>0</v>
      </c>
      <c r="W314" s="12">
        <f t="shared" si="120"/>
        <v>0</v>
      </c>
      <c r="X314" s="116"/>
      <c r="Y314" s="117">
        <f t="shared" si="129"/>
        <v>567200</v>
      </c>
      <c r="Z314" s="12">
        <f t="shared" si="130"/>
        <v>567200</v>
      </c>
      <c r="AA314" s="12">
        <f aca="true" t="shared" si="132" ref="AA314:AA323">+Y314-Z314</f>
        <v>0</v>
      </c>
      <c r="AB314" s="12"/>
      <c r="AC314" s="12">
        <f aca="true" t="shared" si="133" ref="AC314:AC323">+AA314*AB314/100</f>
        <v>0</v>
      </c>
      <c r="AD314" s="42"/>
      <c r="AE314" s="12"/>
    </row>
    <row r="315" spans="1:31" s="46" customFormat="1" ht="21">
      <c r="A315" s="42" t="s">
        <v>0</v>
      </c>
      <c r="B315" s="42" t="s">
        <v>1</v>
      </c>
      <c r="C315" s="45" t="s">
        <v>1112</v>
      </c>
      <c r="D315" s="45" t="s">
        <v>744</v>
      </c>
      <c r="E315" s="29" t="s">
        <v>907</v>
      </c>
      <c r="F315" s="47" t="s">
        <v>177</v>
      </c>
      <c r="G315" s="42"/>
      <c r="H315" s="42"/>
      <c r="I315" s="44">
        <v>69.7</v>
      </c>
      <c r="J315" s="44">
        <f t="shared" si="118"/>
        <v>69.7</v>
      </c>
      <c r="K315" s="42">
        <v>8000</v>
      </c>
      <c r="L315" s="42">
        <f t="shared" si="131"/>
        <v>557600</v>
      </c>
      <c r="M315" s="42"/>
      <c r="N315" s="42"/>
      <c r="O315" s="42"/>
      <c r="P315" s="45"/>
      <c r="Q315" s="42"/>
      <c r="R315" s="100"/>
      <c r="S315" s="42"/>
      <c r="T315" s="12">
        <f t="shared" si="119"/>
        <v>0</v>
      </c>
      <c r="U315" s="45"/>
      <c r="V315" s="12">
        <f t="shared" si="128"/>
        <v>0</v>
      </c>
      <c r="W315" s="12">
        <f t="shared" si="120"/>
        <v>0</v>
      </c>
      <c r="X315" s="116"/>
      <c r="Y315" s="117">
        <f t="shared" si="129"/>
        <v>557600</v>
      </c>
      <c r="Z315" s="12">
        <f t="shared" si="130"/>
        <v>557600</v>
      </c>
      <c r="AA315" s="12">
        <f t="shared" si="132"/>
        <v>0</v>
      </c>
      <c r="AB315" s="12"/>
      <c r="AC315" s="12">
        <f t="shared" si="133"/>
        <v>0</v>
      </c>
      <c r="AD315" s="42"/>
      <c r="AE315" s="12"/>
    </row>
    <row r="316" spans="1:31" s="46" customFormat="1" ht="21">
      <c r="A316" s="42" t="s">
        <v>0</v>
      </c>
      <c r="B316" s="42" t="s">
        <v>1</v>
      </c>
      <c r="C316" s="45" t="s">
        <v>1113</v>
      </c>
      <c r="D316" s="45" t="s">
        <v>745</v>
      </c>
      <c r="E316" s="29" t="s">
        <v>907</v>
      </c>
      <c r="F316" s="47" t="s">
        <v>177</v>
      </c>
      <c r="G316" s="42"/>
      <c r="H316" s="42"/>
      <c r="I316" s="44">
        <v>68.6</v>
      </c>
      <c r="J316" s="44">
        <f t="shared" si="118"/>
        <v>68.6</v>
      </c>
      <c r="K316" s="42">
        <v>8000</v>
      </c>
      <c r="L316" s="42">
        <f t="shared" si="131"/>
        <v>548800</v>
      </c>
      <c r="M316" s="42"/>
      <c r="N316" s="42"/>
      <c r="O316" s="42"/>
      <c r="P316" s="45"/>
      <c r="Q316" s="42"/>
      <c r="R316" s="100"/>
      <c r="S316" s="42"/>
      <c r="T316" s="12">
        <f t="shared" si="119"/>
        <v>0</v>
      </c>
      <c r="U316" s="45"/>
      <c r="V316" s="12">
        <f t="shared" si="128"/>
        <v>0</v>
      </c>
      <c r="W316" s="12">
        <f t="shared" si="120"/>
        <v>0</v>
      </c>
      <c r="X316" s="116"/>
      <c r="Y316" s="117">
        <f t="shared" si="129"/>
        <v>548800</v>
      </c>
      <c r="Z316" s="12">
        <f t="shared" si="130"/>
        <v>548800</v>
      </c>
      <c r="AA316" s="12">
        <f t="shared" si="132"/>
        <v>0</v>
      </c>
      <c r="AB316" s="12"/>
      <c r="AC316" s="12">
        <f t="shared" si="133"/>
        <v>0</v>
      </c>
      <c r="AD316" s="42"/>
      <c r="AE316" s="12"/>
    </row>
    <row r="317" spans="1:31" s="46" customFormat="1" ht="21">
      <c r="A317" s="42" t="s">
        <v>0</v>
      </c>
      <c r="B317" s="42" t="s">
        <v>1</v>
      </c>
      <c r="C317" s="45" t="s">
        <v>1114</v>
      </c>
      <c r="D317" s="45" t="s">
        <v>746</v>
      </c>
      <c r="E317" s="29" t="s">
        <v>907</v>
      </c>
      <c r="F317" s="47" t="s">
        <v>177</v>
      </c>
      <c r="G317" s="42"/>
      <c r="H317" s="42"/>
      <c r="I317" s="44">
        <v>67.4</v>
      </c>
      <c r="J317" s="44">
        <f t="shared" si="118"/>
        <v>67.4</v>
      </c>
      <c r="K317" s="42">
        <v>8000</v>
      </c>
      <c r="L317" s="42">
        <f t="shared" si="131"/>
        <v>539200</v>
      </c>
      <c r="M317" s="42"/>
      <c r="N317" s="42"/>
      <c r="O317" s="42"/>
      <c r="P317" s="45"/>
      <c r="Q317" s="42"/>
      <c r="R317" s="100"/>
      <c r="S317" s="42"/>
      <c r="T317" s="12">
        <f t="shared" si="119"/>
        <v>0</v>
      </c>
      <c r="U317" s="45"/>
      <c r="V317" s="12">
        <f t="shared" si="128"/>
        <v>0</v>
      </c>
      <c r="W317" s="12">
        <f t="shared" si="120"/>
        <v>0</v>
      </c>
      <c r="X317" s="116"/>
      <c r="Y317" s="117">
        <f t="shared" si="129"/>
        <v>539200</v>
      </c>
      <c r="Z317" s="12">
        <f t="shared" si="130"/>
        <v>539200</v>
      </c>
      <c r="AA317" s="12">
        <f t="shared" si="132"/>
        <v>0</v>
      </c>
      <c r="AB317" s="12"/>
      <c r="AC317" s="12">
        <f t="shared" si="133"/>
        <v>0</v>
      </c>
      <c r="AD317" s="42"/>
      <c r="AE317" s="12"/>
    </row>
    <row r="318" spans="1:31" s="46" customFormat="1" ht="21">
      <c r="A318" s="42" t="s">
        <v>0</v>
      </c>
      <c r="B318" s="42" t="s">
        <v>1</v>
      </c>
      <c r="C318" s="45" t="s">
        <v>1115</v>
      </c>
      <c r="D318" s="45" t="s">
        <v>747</v>
      </c>
      <c r="E318" s="29" t="s">
        <v>907</v>
      </c>
      <c r="F318" s="47" t="s">
        <v>177</v>
      </c>
      <c r="G318" s="42"/>
      <c r="H318" s="42"/>
      <c r="I318" s="44">
        <v>66.3</v>
      </c>
      <c r="J318" s="44">
        <f t="shared" si="118"/>
        <v>66.3</v>
      </c>
      <c r="K318" s="42">
        <v>8000</v>
      </c>
      <c r="L318" s="42">
        <f t="shared" si="131"/>
        <v>530400</v>
      </c>
      <c r="M318" s="42"/>
      <c r="N318" s="42"/>
      <c r="O318" s="100"/>
      <c r="P318" s="45"/>
      <c r="Q318" s="100"/>
      <c r="R318" s="100"/>
      <c r="S318" s="42"/>
      <c r="T318" s="12">
        <f t="shared" si="119"/>
        <v>0</v>
      </c>
      <c r="U318" s="45"/>
      <c r="V318" s="12">
        <f t="shared" si="128"/>
        <v>0</v>
      </c>
      <c r="W318" s="12">
        <f t="shared" si="120"/>
        <v>0</v>
      </c>
      <c r="X318" s="116"/>
      <c r="Y318" s="117">
        <f t="shared" si="129"/>
        <v>530400</v>
      </c>
      <c r="Z318" s="12">
        <f t="shared" si="130"/>
        <v>530400</v>
      </c>
      <c r="AA318" s="12">
        <f t="shared" si="132"/>
        <v>0</v>
      </c>
      <c r="AB318" s="12"/>
      <c r="AC318" s="12">
        <f t="shared" si="133"/>
        <v>0</v>
      </c>
      <c r="AD318" s="42"/>
      <c r="AE318" s="12"/>
    </row>
    <row r="319" spans="1:31" s="46" customFormat="1" ht="21">
      <c r="A319" s="42" t="s">
        <v>0</v>
      </c>
      <c r="B319" s="42" t="s">
        <v>1</v>
      </c>
      <c r="C319" s="45" t="s">
        <v>1116</v>
      </c>
      <c r="D319" s="45" t="s">
        <v>748</v>
      </c>
      <c r="E319" s="29" t="s">
        <v>907</v>
      </c>
      <c r="F319" s="47" t="s">
        <v>177</v>
      </c>
      <c r="G319" s="42"/>
      <c r="H319" s="42"/>
      <c r="I319" s="44">
        <v>65.8</v>
      </c>
      <c r="J319" s="44">
        <f t="shared" si="118"/>
        <v>65.8</v>
      </c>
      <c r="K319" s="42">
        <v>8000</v>
      </c>
      <c r="L319" s="42">
        <f t="shared" si="131"/>
        <v>526400</v>
      </c>
      <c r="M319" s="42"/>
      <c r="N319" s="42"/>
      <c r="O319" s="100"/>
      <c r="P319" s="45"/>
      <c r="Q319" s="100"/>
      <c r="R319" s="100"/>
      <c r="S319" s="42"/>
      <c r="T319" s="12">
        <f t="shared" si="119"/>
        <v>0</v>
      </c>
      <c r="U319" s="45"/>
      <c r="V319" s="12">
        <f t="shared" si="128"/>
        <v>0</v>
      </c>
      <c r="W319" s="12">
        <f t="shared" si="120"/>
        <v>0</v>
      </c>
      <c r="X319" s="116"/>
      <c r="Y319" s="117">
        <f t="shared" si="129"/>
        <v>526400</v>
      </c>
      <c r="Z319" s="12">
        <f t="shared" si="130"/>
        <v>526400</v>
      </c>
      <c r="AA319" s="12">
        <f t="shared" si="132"/>
        <v>0</v>
      </c>
      <c r="AB319" s="12"/>
      <c r="AC319" s="12">
        <f t="shared" si="133"/>
        <v>0</v>
      </c>
      <c r="AD319" s="42"/>
      <c r="AE319" s="12"/>
    </row>
    <row r="320" spans="1:31" s="46" customFormat="1" ht="21">
      <c r="A320" s="42" t="s">
        <v>0</v>
      </c>
      <c r="B320" s="42" t="s">
        <v>1</v>
      </c>
      <c r="C320" s="45" t="s">
        <v>1117</v>
      </c>
      <c r="D320" s="45" t="s">
        <v>749</v>
      </c>
      <c r="E320" s="29" t="s">
        <v>907</v>
      </c>
      <c r="F320" s="47" t="s">
        <v>177</v>
      </c>
      <c r="G320" s="42"/>
      <c r="H320" s="42"/>
      <c r="I320" s="44">
        <v>66.6</v>
      </c>
      <c r="J320" s="44">
        <f t="shared" si="118"/>
        <v>66.6</v>
      </c>
      <c r="K320" s="42">
        <v>8000</v>
      </c>
      <c r="L320" s="42">
        <f t="shared" si="131"/>
        <v>532800</v>
      </c>
      <c r="M320" s="42"/>
      <c r="N320" s="42"/>
      <c r="O320" s="42"/>
      <c r="P320" s="45"/>
      <c r="Q320" s="42"/>
      <c r="R320" s="100"/>
      <c r="S320" s="42"/>
      <c r="T320" s="12">
        <f t="shared" si="119"/>
        <v>0</v>
      </c>
      <c r="U320" s="45"/>
      <c r="V320" s="12">
        <f t="shared" si="128"/>
        <v>0</v>
      </c>
      <c r="W320" s="12">
        <f t="shared" si="120"/>
        <v>0</v>
      </c>
      <c r="X320" s="116"/>
      <c r="Y320" s="117">
        <f t="shared" si="129"/>
        <v>532800</v>
      </c>
      <c r="Z320" s="12">
        <f t="shared" si="130"/>
        <v>532800</v>
      </c>
      <c r="AA320" s="12">
        <f t="shared" si="132"/>
        <v>0</v>
      </c>
      <c r="AB320" s="12"/>
      <c r="AC320" s="12">
        <f t="shared" si="133"/>
        <v>0</v>
      </c>
      <c r="AD320" s="42"/>
      <c r="AE320" s="12"/>
    </row>
    <row r="321" spans="1:31" s="46" customFormat="1" ht="21">
      <c r="A321" s="42" t="s">
        <v>0</v>
      </c>
      <c r="B321" s="42" t="s">
        <v>1</v>
      </c>
      <c r="C321" s="45" t="s">
        <v>1118</v>
      </c>
      <c r="D321" s="45" t="s">
        <v>750</v>
      </c>
      <c r="E321" s="29" t="s">
        <v>907</v>
      </c>
      <c r="F321" s="47" t="s">
        <v>177</v>
      </c>
      <c r="G321" s="42"/>
      <c r="H321" s="42"/>
      <c r="I321" s="44">
        <v>67.3</v>
      </c>
      <c r="J321" s="44">
        <f t="shared" si="118"/>
        <v>67.3</v>
      </c>
      <c r="K321" s="42">
        <v>12000</v>
      </c>
      <c r="L321" s="42">
        <f t="shared" si="131"/>
        <v>807600</v>
      </c>
      <c r="M321" s="42"/>
      <c r="N321" s="42"/>
      <c r="O321" s="42"/>
      <c r="P321" s="45"/>
      <c r="Q321" s="42"/>
      <c r="R321" s="100"/>
      <c r="S321" s="42"/>
      <c r="T321" s="12">
        <f t="shared" si="119"/>
        <v>0</v>
      </c>
      <c r="U321" s="45"/>
      <c r="V321" s="12">
        <f t="shared" si="128"/>
        <v>0</v>
      </c>
      <c r="W321" s="12">
        <f t="shared" si="120"/>
        <v>0</v>
      </c>
      <c r="X321" s="116"/>
      <c r="Y321" s="117">
        <f t="shared" si="129"/>
        <v>807600</v>
      </c>
      <c r="Z321" s="12">
        <f t="shared" si="130"/>
        <v>807600</v>
      </c>
      <c r="AA321" s="12">
        <f t="shared" si="132"/>
        <v>0</v>
      </c>
      <c r="AB321" s="12"/>
      <c r="AC321" s="12">
        <f t="shared" si="133"/>
        <v>0</v>
      </c>
      <c r="AD321" s="42"/>
      <c r="AE321" s="12"/>
    </row>
    <row r="322" spans="1:31" s="46" customFormat="1" ht="21">
      <c r="A322" s="42" t="s">
        <v>0</v>
      </c>
      <c r="B322" s="42" t="s">
        <v>1</v>
      </c>
      <c r="C322" s="45" t="s">
        <v>1119</v>
      </c>
      <c r="D322" s="45" t="s">
        <v>751</v>
      </c>
      <c r="E322" s="29" t="s">
        <v>907</v>
      </c>
      <c r="F322" s="47" t="s">
        <v>177</v>
      </c>
      <c r="G322" s="42"/>
      <c r="H322" s="42"/>
      <c r="I322" s="44">
        <v>68</v>
      </c>
      <c r="J322" s="44">
        <f aca="true" t="shared" si="134" ref="J322:J350">+I322+(H322*100)+(G322*400)</f>
        <v>68</v>
      </c>
      <c r="K322" s="42">
        <v>12000</v>
      </c>
      <c r="L322" s="42">
        <f t="shared" si="131"/>
        <v>816000</v>
      </c>
      <c r="M322" s="42"/>
      <c r="N322" s="42"/>
      <c r="O322" s="42"/>
      <c r="P322" s="45"/>
      <c r="Q322" s="42"/>
      <c r="R322" s="100"/>
      <c r="S322" s="42"/>
      <c r="T322" s="12">
        <f aca="true" t="shared" si="135" ref="T322:T350">+Q322*S322</f>
        <v>0</v>
      </c>
      <c r="U322" s="45"/>
      <c r="V322" s="12">
        <f t="shared" si="128"/>
        <v>0</v>
      </c>
      <c r="W322" s="12">
        <f aca="true" t="shared" si="136" ref="W322:W350">+T322-V322</f>
        <v>0</v>
      </c>
      <c r="X322" s="116"/>
      <c r="Y322" s="117">
        <f t="shared" si="129"/>
        <v>816000</v>
      </c>
      <c r="Z322" s="12">
        <f t="shared" si="130"/>
        <v>816000</v>
      </c>
      <c r="AA322" s="12">
        <f t="shared" si="132"/>
        <v>0</v>
      </c>
      <c r="AB322" s="12"/>
      <c r="AC322" s="12">
        <f t="shared" si="133"/>
        <v>0</v>
      </c>
      <c r="AD322" s="42"/>
      <c r="AE322" s="12"/>
    </row>
    <row r="323" spans="1:31" s="46" customFormat="1" ht="21">
      <c r="A323" s="42" t="s">
        <v>0</v>
      </c>
      <c r="B323" s="42" t="s">
        <v>1</v>
      </c>
      <c r="C323" s="45" t="s">
        <v>1120</v>
      </c>
      <c r="D323" s="45" t="s">
        <v>752</v>
      </c>
      <c r="E323" s="29" t="s">
        <v>907</v>
      </c>
      <c r="F323" s="47" t="s">
        <v>177</v>
      </c>
      <c r="G323" s="42"/>
      <c r="H323" s="42"/>
      <c r="I323" s="44">
        <v>68.6</v>
      </c>
      <c r="J323" s="44">
        <f t="shared" si="134"/>
        <v>68.6</v>
      </c>
      <c r="K323" s="42">
        <v>12000</v>
      </c>
      <c r="L323" s="42">
        <f t="shared" si="131"/>
        <v>823199.9999999999</v>
      </c>
      <c r="M323" s="42"/>
      <c r="N323" s="42"/>
      <c r="O323" s="42"/>
      <c r="P323" s="45"/>
      <c r="Q323" s="42"/>
      <c r="R323" s="100"/>
      <c r="S323" s="42"/>
      <c r="T323" s="12">
        <f t="shared" si="135"/>
        <v>0</v>
      </c>
      <c r="U323" s="45"/>
      <c r="V323" s="12">
        <f t="shared" si="128"/>
        <v>0</v>
      </c>
      <c r="W323" s="12">
        <f t="shared" si="136"/>
        <v>0</v>
      </c>
      <c r="X323" s="116"/>
      <c r="Y323" s="117">
        <f t="shared" si="129"/>
        <v>823199.9999999999</v>
      </c>
      <c r="Z323" s="12">
        <f t="shared" si="130"/>
        <v>823199.9999999999</v>
      </c>
      <c r="AA323" s="12">
        <f t="shared" si="132"/>
        <v>0</v>
      </c>
      <c r="AB323" s="12"/>
      <c r="AC323" s="12">
        <f t="shared" si="133"/>
        <v>0</v>
      </c>
      <c r="AD323" s="42"/>
      <c r="AE323" s="12"/>
    </row>
    <row r="324" spans="1:31" s="46" customFormat="1" ht="21">
      <c r="A324" s="42" t="s">
        <v>0</v>
      </c>
      <c r="B324" s="42" t="s">
        <v>1</v>
      </c>
      <c r="C324" s="45" t="s">
        <v>1121</v>
      </c>
      <c r="D324" s="45" t="s">
        <v>753</v>
      </c>
      <c r="E324" s="29" t="s">
        <v>907</v>
      </c>
      <c r="F324" s="47" t="s">
        <v>177</v>
      </c>
      <c r="G324" s="42"/>
      <c r="H324" s="42"/>
      <c r="I324" s="44">
        <v>69.3</v>
      </c>
      <c r="J324" s="44">
        <f t="shared" si="134"/>
        <v>69.3</v>
      </c>
      <c r="K324" s="42">
        <v>12000</v>
      </c>
      <c r="L324" s="42">
        <f aca="true" t="shared" si="137" ref="L324:L338">+K324*J324</f>
        <v>831600</v>
      </c>
      <c r="M324" s="42"/>
      <c r="N324" s="42"/>
      <c r="O324" s="42"/>
      <c r="P324" s="45"/>
      <c r="Q324" s="42"/>
      <c r="R324" s="100"/>
      <c r="S324" s="42"/>
      <c r="T324" s="12">
        <f t="shared" si="135"/>
        <v>0</v>
      </c>
      <c r="U324" s="45"/>
      <c r="V324" s="12">
        <f t="shared" si="128"/>
        <v>0</v>
      </c>
      <c r="W324" s="12">
        <f t="shared" si="136"/>
        <v>0</v>
      </c>
      <c r="X324" s="116"/>
      <c r="Y324" s="117">
        <f t="shared" si="129"/>
        <v>831600</v>
      </c>
      <c r="Z324" s="12">
        <f t="shared" si="130"/>
        <v>831600</v>
      </c>
      <c r="AA324" s="12">
        <f aca="true" t="shared" si="138" ref="AA324:AA338">+Y324-Z324</f>
        <v>0</v>
      </c>
      <c r="AB324" s="12"/>
      <c r="AC324" s="12">
        <f aca="true" t="shared" si="139" ref="AC324:AC338">+AA324*AB324/100</f>
        <v>0</v>
      </c>
      <c r="AD324" s="42"/>
      <c r="AE324" s="12"/>
    </row>
    <row r="325" spans="1:31" s="46" customFormat="1" ht="21">
      <c r="A325" s="42" t="s">
        <v>0</v>
      </c>
      <c r="B325" s="42" t="s">
        <v>1</v>
      </c>
      <c r="C325" s="45" t="s">
        <v>1122</v>
      </c>
      <c r="D325" s="45" t="s">
        <v>754</v>
      </c>
      <c r="E325" s="29" t="s">
        <v>907</v>
      </c>
      <c r="F325" s="47" t="s">
        <v>177</v>
      </c>
      <c r="G325" s="42"/>
      <c r="H325" s="42"/>
      <c r="I325" s="44">
        <v>70</v>
      </c>
      <c r="J325" s="44">
        <f t="shared" si="134"/>
        <v>70</v>
      </c>
      <c r="K325" s="42">
        <v>12000</v>
      </c>
      <c r="L325" s="42">
        <f t="shared" si="137"/>
        <v>840000</v>
      </c>
      <c r="M325" s="42"/>
      <c r="N325" s="42"/>
      <c r="O325" s="42"/>
      <c r="P325" s="45"/>
      <c r="Q325" s="42"/>
      <c r="R325" s="100"/>
      <c r="S325" s="42"/>
      <c r="T325" s="12">
        <f t="shared" si="135"/>
        <v>0</v>
      </c>
      <c r="U325" s="45"/>
      <c r="V325" s="12">
        <f t="shared" si="128"/>
        <v>0</v>
      </c>
      <c r="W325" s="12">
        <f t="shared" si="136"/>
        <v>0</v>
      </c>
      <c r="X325" s="116"/>
      <c r="Y325" s="117">
        <f t="shared" si="129"/>
        <v>840000</v>
      </c>
      <c r="Z325" s="12">
        <f t="shared" si="130"/>
        <v>840000</v>
      </c>
      <c r="AA325" s="12">
        <f t="shared" si="138"/>
        <v>0</v>
      </c>
      <c r="AB325" s="12"/>
      <c r="AC325" s="12">
        <f t="shared" si="139"/>
        <v>0</v>
      </c>
      <c r="AD325" s="42"/>
      <c r="AE325" s="12"/>
    </row>
    <row r="326" spans="1:31" s="46" customFormat="1" ht="21">
      <c r="A326" s="42" t="s">
        <v>0</v>
      </c>
      <c r="B326" s="42" t="s">
        <v>1</v>
      </c>
      <c r="C326" s="45" t="s">
        <v>1123</v>
      </c>
      <c r="D326" s="45" t="s">
        <v>755</v>
      </c>
      <c r="E326" s="29" t="s">
        <v>907</v>
      </c>
      <c r="F326" s="47" t="s">
        <v>177</v>
      </c>
      <c r="G326" s="42"/>
      <c r="H326" s="42">
        <v>1</v>
      </c>
      <c r="I326" s="44">
        <v>32.3</v>
      </c>
      <c r="J326" s="44">
        <f t="shared" si="134"/>
        <v>132.3</v>
      </c>
      <c r="K326" s="42">
        <v>8000</v>
      </c>
      <c r="L326" s="42">
        <f t="shared" si="137"/>
        <v>1058400</v>
      </c>
      <c r="M326" s="42"/>
      <c r="N326" s="42"/>
      <c r="O326" s="42"/>
      <c r="P326" s="45"/>
      <c r="Q326" s="42"/>
      <c r="R326" s="100"/>
      <c r="S326" s="42"/>
      <c r="T326" s="12">
        <f t="shared" si="135"/>
        <v>0</v>
      </c>
      <c r="U326" s="45"/>
      <c r="V326" s="12">
        <f t="shared" si="128"/>
        <v>0</v>
      </c>
      <c r="W326" s="12">
        <f t="shared" si="136"/>
        <v>0</v>
      </c>
      <c r="X326" s="116"/>
      <c r="Y326" s="117">
        <f t="shared" si="129"/>
        <v>1058400</v>
      </c>
      <c r="Z326" s="12">
        <f t="shared" si="130"/>
        <v>1058400</v>
      </c>
      <c r="AA326" s="12">
        <f t="shared" si="138"/>
        <v>0</v>
      </c>
      <c r="AB326" s="12"/>
      <c r="AC326" s="12">
        <f t="shared" si="139"/>
        <v>0</v>
      </c>
      <c r="AD326" s="42"/>
      <c r="AE326" s="12"/>
    </row>
    <row r="327" spans="1:31" s="46" customFormat="1" ht="21">
      <c r="A327" s="42" t="s">
        <v>0</v>
      </c>
      <c r="B327" s="42" t="s">
        <v>1</v>
      </c>
      <c r="C327" s="45" t="s">
        <v>1124</v>
      </c>
      <c r="D327" s="45" t="s">
        <v>756</v>
      </c>
      <c r="E327" s="29" t="s">
        <v>907</v>
      </c>
      <c r="F327" s="47" t="s">
        <v>177</v>
      </c>
      <c r="G327" s="42"/>
      <c r="H327" s="42"/>
      <c r="I327" s="44">
        <v>95.8</v>
      </c>
      <c r="J327" s="44">
        <f t="shared" si="134"/>
        <v>95.8</v>
      </c>
      <c r="K327" s="42">
        <v>8000</v>
      </c>
      <c r="L327" s="42">
        <f t="shared" si="137"/>
        <v>766400</v>
      </c>
      <c r="M327" s="42"/>
      <c r="N327" s="42"/>
      <c r="O327" s="100"/>
      <c r="P327" s="45"/>
      <c r="Q327" s="100"/>
      <c r="R327" s="100"/>
      <c r="S327" s="42"/>
      <c r="T327" s="12">
        <f t="shared" si="135"/>
        <v>0</v>
      </c>
      <c r="U327" s="45"/>
      <c r="V327" s="12">
        <f t="shared" si="128"/>
        <v>0</v>
      </c>
      <c r="W327" s="12">
        <f t="shared" si="136"/>
        <v>0</v>
      </c>
      <c r="X327" s="116"/>
      <c r="Y327" s="117">
        <f t="shared" si="129"/>
        <v>766400</v>
      </c>
      <c r="Z327" s="12">
        <f t="shared" si="130"/>
        <v>766400</v>
      </c>
      <c r="AA327" s="12">
        <f t="shared" si="138"/>
        <v>0</v>
      </c>
      <c r="AB327" s="12"/>
      <c r="AC327" s="12">
        <f t="shared" si="139"/>
        <v>0</v>
      </c>
      <c r="AD327" s="42"/>
      <c r="AE327" s="12"/>
    </row>
    <row r="328" spans="1:31" s="46" customFormat="1" ht="21">
      <c r="A328" s="42" t="s">
        <v>0</v>
      </c>
      <c r="B328" s="42" t="s">
        <v>1</v>
      </c>
      <c r="C328" s="45" t="s">
        <v>1125</v>
      </c>
      <c r="D328" s="51" t="s">
        <v>757</v>
      </c>
      <c r="E328" s="29" t="s">
        <v>907</v>
      </c>
      <c r="F328" s="47" t="s">
        <v>177</v>
      </c>
      <c r="G328" s="42"/>
      <c r="H328" s="42"/>
      <c r="I328" s="44">
        <v>95.8</v>
      </c>
      <c r="J328" s="44">
        <f t="shared" si="134"/>
        <v>95.8</v>
      </c>
      <c r="K328" s="42">
        <v>15000</v>
      </c>
      <c r="L328" s="42">
        <f t="shared" si="137"/>
        <v>1437000</v>
      </c>
      <c r="M328" s="42"/>
      <c r="N328" s="42"/>
      <c r="O328" s="100"/>
      <c r="P328" s="45"/>
      <c r="Q328" s="100"/>
      <c r="R328" s="100"/>
      <c r="S328" s="42"/>
      <c r="T328" s="12">
        <f t="shared" si="135"/>
        <v>0</v>
      </c>
      <c r="U328" s="45"/>
      <c r="V328" s="12">
        <f t="shared" si="128"/>
        <v>0</v>
      </c>
      <c r="W328" s="12">
        <f t="shared" si="136"/>
        <v>0</v>
      </c>
      <c r="X328" s="116"/>
      <c r="Y328" s="117">
        <f t="shared" si="129"/>
        <v>1437000</v>
      </c>
      <c r="Z328" s="12">
        <f t="shared" si="130"/>
        <v>1437000</v>
      </c>
      <c r="AA328" s="12">
        <f t="shared" si="138"/>
        <v>0</v>
      </c>
      <c r="AB328" s="12"/>
      <c r="AC328" s="12">
        <f t="shared" si="139"/>
        <v>0</v>
      </c>
      <c r="AD328" s="42"/>
      <c r="AE328" s="12"/>
    </row>
    <row r="329" spans="1:31" s="46" customFormat="1" ht="21">
      <c r="A329" s="42" t="s">
        <v>0</v>
      </c>
      <c r="B329" s="42" t="s">
        <v>1</v>
      </c>
      <c r="C329" s="45" t="s">
        <v>1126</v>
      </c>
      <c r="D329" s="45" t="s">
        <v>758</v>
      </c>
      <c r="E329" s="29" t="s">
        <v>907</v>
      </c>
      <c r="F329" s="47" t="s">
        <v>140</v>
      </c>
      <c r="G329" s="42"/>
      <c r="H329" s="42"/>
      <c r="I329" s="44">
        <v>82.9</v>
      </c>
      <c r="J329" s="44">
        <f t="shared" si="134"/>
        <v>82.9</v>
      </c>
      <c r="K329" s="42">
        <v>15000</v>
      </c>
      <c r="L329" s="42">
        <f t="shared" si="137"/>
        <v>1243500</v>
      </c>
      <c r="M329" s="42"/>
      <c r="N329" s="42"/>
      <c r="O329" s="42"/>
      <c r="P329" s="45"/>
      <c r="Q329" s="42"/>
      <c r="R329" s="100"/>
      <c r="S329" s="42"/>
      <c r="T329" s="12">
        <f t="shared" si="135"/>
        <v>0</v>
      </c>
      <c r="U329" s="45"/>
      <c r="V329" s="12">
        <f t="shared" si="128"/>
        <v>0</v>
      </c>
      <c r="W329" s="12">
        <f t="shared" si="136"/>
        <v>0</v>
      </c>
      <c r="X329" s="116"/>
      <c r="Y329" s="117">
        <f t="shared" si="129"/>
        <v>1243500</v>
      </c>
      <c r="Z329" s="12"/>
      <c r="AA329" s="12">
        <f t="shared" si="138"/>
        <v>1243500</v>
      </c>
      <c r="AB329" s="12">
        <v>0.3</v>
      </c>
      <c r="AC329" s="12">
        <f t="shared" si="139"/>
        <v>3730.5</v>
      </c>
      <c r="AD329" s="42"/>
      <c r="AE329" s="12"/>
    </row>
    <row r="330" spans="1:31" s="46" customFormat="1" ht="21">
      <c r="A330" s="42" t="s">
        <v>0</v>
      </c>
      <c r="B330" s="42" t="s">
        <v>1</v>
      </c>
      <c r="C330" s="45" t="s">
        <v>1127</v>
      </c>
      <c r="D330" s="45" t="s">
        <v>759</v>
      </c>
      <c r="E330" s="29" t="s">
        <v>907</v>
      </c>
      <c r="F330" s="47" t="s">
        <v>140</v>
      </c>
      <c r="G330" s="42"/>
      <c r="H330" s="42"/>
      <c r="I330" s="44">
        <v>63.2</v>
      </c>
      <c r="J330" s="44">
        <f t="shared" si="134"/>
        <v>63.2</v>
      </c>
      <c r="K330" s="42">
        <v>8000</v>
      </c>
      <c r="L330" s="42">
        <f t="shared" si="137"/>
        <v>505600</v>
      </c>
      <c r="M330" s="42"/>
      <c r="N330" s="42"/>
      <c r="O330" s="42"/>
      <c r="P330" s="45"/>
      <c r="Q330" s="42"/>
      <c r="R330" s="100"/>
      <c r="S330" s="42"/>
      <c r="T330" s="12">
        <f t="shared" si="135"/>
        <v>0</v>
      </c>
      <c r="U330" s="45"/>
      <c r="V330" s="12">
        <f t="shared" si="128"/>
        <v>0</v>
      </c>
      <c r="W330" s="12">
        <f t="shared" si="136"/>
        <v>0</v>
      </c>
      <c r="X330" s="116"/>
      <c r="Y330" s="117">
        <f t="shared" si="129"/>
        <v>505600</v>
      </c>
      <c r="Z330" s="12"/>
      <c r="AA330" s="12">
        <f t="shared" si="138"/>
        <v>505600</v>
      </c>
      <c r="AB330" s="12">
        <v>0.3</v>
      </c>
      <c r="AC330" s="12">
        <f t="shared" si="139"/>
        <v>1516.8</v>
      </c>
      <c r="AD330" s="42"/>
      <c r="AE330" s="12"/>
    </row>
    <row r="331" spans="1:31" s="46" customFormat="1" ht="21">
      <c r="A331" s="42" t="s">
        <v>0</v>
      </c>
      <c r="B331" s="42" t="s">
        <v>1</v>
      </c>
      <c r="C331" s="45" t="s">
        <v>1128</v>
      </c>
      <c r="D331" s="45" t="s">
        <v>760</v>
      </c>
      <c r="E331" s="29" t="s">
        <v>907</v>
      </c>
      <c r="F331" s="47" t="s">
        <v>140</v>
      </c>
      <c r="G331" s="42"/>
      <c r="H331" s="42"/>
      <c r="I331" s="44">
        <v>56.8</v>
      </c>
      <c r="J331" s="44">
        <f t="shared" si="134"/>
        <v>56.8</v>
      </c>
      <c r="K331" s="42">
        <v>15000</v>
      </c>
      <c r="L331" s="42">
        <f t="shared" si="137"/>
        <v>852000</v>
      </c>
      <c r="M331" s="42"/>
      <c r="N331" s="42"/>
      <c r="O331" s="42"/>
      <c r="P331" s="45"/>
      <c r="Q331" s="42"/>
      <c r="R331" s="100"/>
      <c r="S331" s="42"/>
      <c r="T331" s="12">
        <f t="shared" si="135"/>
        <v>0</v>
      </c>
      <c r="U331" s="45"/>
      <c r="V331" s="12">
        <f t="shared" si="128"/>
        <v>0</v>
      </c>
      <c r="W331" s="12">
        <f t="shared" si="136"/>
        <v>0</v>
      </c>
      <c r="X331" s="116"/>
      <c r="Y331" s="117">
        <f t="shared" si="129"/>
        <v>852000</v>
      </c>
      <c r="Z331" s="12"/>
      <c r="AA331" s="12">
        <f t="shared" si="138"/>
        <v>852000</v>
      </c>
      <c r="AB331" s="12">
        <v>0.3</v>
      </c>
      <c r="AC331" s="12">
        <f t="shared" si="139"/>
        <v>2556</v>
      </c>
      <c r="AD331" s="42"/>
      <c r="AE331" s="12"/>
    </row>
    <row r="332" spans="1:31" s="46" customFormat="1" ht="21">
      <c r="A332" s="42" t="s">
        <v>0</v>
      </c>
      <c r="B332" s="42" t="s">
        <v>1</v>
      </c>
      <c r="C332" s="45" t="s">
        <v>1129</v>
      </c>
      <c r="D332" s="45" t="s">
        <v>761</v>
      </c>
      <c r="E332" s="29" t="s">
        <v>907</v>
      </c>
      <c r="F332" s="47" t="s">
        <v>140</v>
      </c>
      <c r="G332" s="42"/>
      <c r="H332" s="42"/>
      <c r="I332" s="44">
        <v>60.1</v>
      </c>
      <c r="J332" s="44">
        <f t="shared" si="134"/>
        <v>60.1</v>
      </c>
      <c r="K332" s="42">
        <v>15000</v>
      </c>
      <c r="L332" s="42">
        <f aca="true" t="shared" si="140" ref="L332:L337">+K332*J332</f>
        <v>901500</v>
      </c>
      <c r="M332" s="42"/>
      <c r="N332" s="42"/>
      <c r="O332" s="42"/>
      <c r="P332" s="45"/>
      <c r="Q332" s="42"/>
      <c r="R332" s="100"/>
      <c r="S332" s="42"/>
      <c r="T332" s="12">
        <f t="shared" si="135"/>
        <v>0</v>
      </c>
      <c r="U332" s="45"/>
      <c r="V332" s="12">
        <f t="shared" si="128"/>
        <v>0</v>
      </c>
      <c r="W332" s="12">
        <f t="shared" si="136"/>
        <v>0</v>
      </c>
      <c r="X332" s="116"/>
      <c r="Y332" s="117">
        <f t="shared" si="129"/>
        <v>901500</v>
      </c>
      <c r="Z332" s="12"/>
      <c r="AA332" s="12">
        <f aca="true" t="shared" si="141" ref="AA332:AA337">+Y332-Z332</f>
        <v>901500</v>
      </c>
      <c r="AB332" s="12">
        <v>0.3</v>
      </c>
      <c r="AC332" s="12">
        <f aca="true" t="shared" si="142" ref="AC332:AC337">+AA332*AB332/100</f>
        <v>2704.5</v>
      </c>
      <c r="AD332" s="42"/>
      <c r="AE332" s="12"/>
    </row>
    <row r="333" spans="1:31" s="46" customFormat="1" ht="21">
      <c r="A333" s="42" t="s">
        <v>0</v>
      </c>
      <c r="B333" s="42" t="s">
        <v>1</v>
      </c>
      <c r="C333" s="45" t="s">
        <v>1130</v>
      </c>
      <c r="D333" s="45" t="s">
        <v>762</v>
      </c>
      <c r="E333" s="29" t="s">
        <v>907</v>
      </c>
      <c r="F333" s="47" t="s">
        <v>140</v>
      </c>
      <c r="G333" s="42"/>
      <c r="H333" s="42"/>
      <c r="I333" s="44">
        <v>53.6</v>
      </c>
      <c r="J333" s="44">
        <f t="shared" si="134"/>
        <v>53.6</v>
      </c>
      <c r="K333" s="42">
        <v>15000</v>
      </c>
      <c r="L333" s="42">
        <f t="shared" si="140"/>
        <v>804000</v>
      </c>
      <c r="M333" s="42"/>
      <c r="N333" s="42"/>
      <c r="O333" s="42"/>
      <c r="P333" s="45"/>
      <c r="Q333" s="42"/>
      <c r="R333" s="100"/>
      <c r="S333" s="42"/>
      <c r="T333" s="12">
        <f t="shared" si="135"/>
        <v>0</v>
      </c>
      <c r="U333" s="45"/>
      <c r="V333" s="12">
        <f t="shared" si="128"/>
        <v>0</v>
      </c>
      <c r="W333" s="12">
        <f t="shared" si="136"/>
        <v>0</v>
      </c>
      <c r="X333" s="116"/>
      <c r="Y333" s="117">
        <f t="shared" si="129"/>
        <v>804000</v>
      </c>
      <c r="Z333" s="12"/>
      <c r="AA333" s="12">
        <f t="shared" si="141"/>
        <v>804000</v>
      </c>
      <c r="AB333" s="12">
        <v>0.3</v>
      </c>
      <c r="AC333" s="12">
        <f t="shared" si="142"/>
        <v>2412</v>
      </c>
      <c r="AD333" s="42"/>
      <c r="AE333" s="12"/>
    </row>
    <row r="334" spans="1:31" s="46" customFormat="1" ht="21">
      <c r="A334" s="42" t="s">
        <v>0</v>
      </c>
      <c r="B334" s="42" t="s">
        <v>1</v>
      </c>
      <c r="C334" s="45" t="s">
        <v>1131</v>
      </c>
      <c r="D334" s="45" t="s">
        <v>763</v>
      </c>
      <c r="E334" s="29" t="s">
        <v>907</v>
      </c>
      <c r="F334" s="47" t="s">
        <v>140</v>
      </c>
      <c r="G334" s="42"/>
      <c r="H334" s="42"/>
      <c r="I334" s="44">
        <v>77.6</v>
      </c>
      <c r="J334" s="44">
        <f t="shared" si="134"/>
        <v>77.6</v>
      </c>
      <c r="K334" s="42">
        <v>8000</v>
      </c>
      <c r="L334" s="42">
        <f t="shared" si="140"/>
        <v>620800</v>
      </c>
      <c r="M334" s="42"/>
      <c r="N334" s="42"/>
      <c r="O334" s="42"/>
      <c r="P334" s="45"/>
      <c r="Q334" s="42"/>
      <c r="R334" s="100"/>
      <c r="S334" s="42"/>
      <c r="T334" s="12">
        <f t="shared" si="135"/>
        <v>0</v>
      </c>
      <c r="U334" s="45"/>
      <c r="V334" s="12">
        <f t="shared" si="128"/>
        <v>0</v>
      </c>
      <c r="W334" s="12">
        <f t="shared" si="136"/>
        <v>0</v>
      </c>
      <c r="X334" s="116"/>
      <c r="Y334" s="117">
        <f t="shared" si="129"/>
        <v>620800</v>
      </c>
      <c r="Z334" s="12"/>
      <c r="AA334" s="12">
        <f t="shared" si="141"/>
        <v>620800</v>
      </c>
      <c r="AB334" s="12">
        <v>0.3</v>
      </c>
      <c r="AC334" s="12">
        <f t="shared" si="142"/>
        <v>1862.4</v>
      </c>
      <c r="AD334" s="42"/>
      <c r="AE334" s="12"/>
    </row>
    <row r="335" spans="1:31" s="46" customFormat="1" ht="21">
      <c r="A335" s="42" t="s">
        <v>0</v>
      </c>
      <c r="B335" s="42" t="s">
        <v>1</v>
      </c>
      <c r="C335" s="45" t="s">
        <v>918</v>
      </c>
      <c r="D335" s="45" t="s">
        <v>764</v>
      </c>
      <c r="E335" s="29" t="s">
        <v>907</v>
      </c>
      <c r="F335" s="47" t="s">
        <v>140</v>
      </c>
      <c r="G335" s="42"/>
      <c r="H335" s="42"/>
      <c r="I335" s="44">
        <v>77.7</v>
      </c>
      <c r="J335" s="44">
        <f t="shared" si="134"/>
        <v>77.7</v>
      </c>
      <c r="K335" s="42">
        <v>8000</v>
      </c>
      <c r="L335" s="42">
        <f t="shared" si="140"/>
        <v>621600</v>
      </c>
      <c r="M335" s="42"/>
      <c r="N335" s="42"/>
      <c r="O335" s="42"/>
      <c r="P335" s="45"/>
      <c r="Q335" s="42"/>
      <c r="R335" s="100"/>
      <c r="S335" s="42"/>
      <c r="T335" s="12">
        <f t="shared" si="135"/>
        <v>0</v>
      </c>
      <c r="U335" s="45"/>
      <c r="V335" s="12">
        <f t="shared" si="128"/>
        <v>0</v>
      </c>
      <c r="W335" s="12">
        <f t="shared" si="136"/>
        <v>0</v>
      </c>
      <c r="X335" s="116"/>
      <c r="Y335" s="117">
        <f t="shared" si="129"/>
        <v>621600</v>
      </c>
      <c r="Z335" s="12"/>
      <c r="AA335" s="12">
        <f t="shared" si="141"/>
        <v>621600</v>
      </c>
      <c r="AB335" s="12">
        <v>0.3</v>
      </c>
      <c r="AC335" s="12">
        <f t="shared" si="142"/>
        <v>1864.8</v>
      </c>
      <c r="AD335" s="42"/>
      <c r="AE335" s="12"/>
    </row>
    <row r="336" spans="1:31" s="46" customFormat="1" ht="21">
      <c r="A336" s="42" t="s">
        <v>0</v>
      </c>
      <c r="B336" s="42" t="s">
        <v>1</v>
      </c>
      <c r="C336" s="45" t="s">
        <v>1132</v>
      </c>
      <c r="D336" s="45" t="s">
        <v>765</v>
      </c>
      <c r="E336" s="29" t="s">
        <v>907</v>
      </c>
      <c r="F336" s="47" t="s">
        <v>140</v>
      </c>
      <c r="G336" s="42"/>
      <c r="H336" s="42"/>
      <c r="I336" s="44">
        <v>78.3</v>
      </c>
      <c r="J336" s="44">
        <f t="shared" si="134"/>
        <v>78.3</v>
      </c>
      <c r="K336" s="42">
        <v>8000</v>
      </c>
      <c r="L336" s="42">
        <f t="shared" si="140"/>
        <v>626400</v>
      </c>
      <c r="M336" s="42"/>
      <c r="N336" s="42"/>
      <c r="O336" s="100"/>
      <c r="P336" s="45"/>
      <c r="Q336" s="100"/>
      <c r="R336" s="100"/>
      <c r="S336" s="42"/>
      <c r="T336" s="12">
        <f t="shared" si="135"/>
        <v>0</v>
      </c>
      <c r="U336" s="45"/>
      <c r="V336" s="12">
        <f t="shared" si="128"/>
        <v>0</v>
      </c>
      <c r="W336" s="12">
        <f t="shared" si="136"/>
        <v>0</v>
      </c>
      <c r="X336" s="116"/>
      <c r="Y336" s="117">
        <f t="shared" si="129"/>
        <v>626400</v>
      </c>
      <c r="Z336" s="12"/>
      <c r="AA336" s="12">
        <f t="shared" si="141"/>
        <v>626400</v>
      </c>
      <c r="AB336" s="12">
        <v>0.3</v>
      </c>
      <c r="AC336" s="12">
        <f t="shared" si="142"/>
        <v>1879.2</v>
      </c>
      <c r="AD336" s="42"/>
      <c r="AE336" s="12"/>
    </row>
    <row r="337" spans="1:31" s="46" customFormat="1" ht="21">
      <c r="A337" s="42" t="s">
        <v>0</v>
      </c>
      <c r="B337" s="42" t="s">
        <v>1</v>
      </c>
      <c r="C337" s="45" t="s">
        <v>1133</v>
      </c>
      <c r="D337" s="45" t="s">
        <v>766</v>
      </c>
      <c r="E337" s="29" t="s">
        <v>907</v>
      </c>
      <c r="F337" s="47" t="s">
        <v>140</v>
      </c>
      <c r="G337" s="42"/>
      <c r="H337" s="42"/>
      <c r="I337" s="44">
        <v>17.8</v>
      </c>
      <c r="J337" s="44">
        <f t="shared" si="134"/>
        <v>17.8</v>
      </c>
      <c r="K337" s="42">
        <v>8000</v>
      </c>
      <c r="L337" s="42">
        <f t="shared" si="140"/>
        <v>142400</v>
      </c>
      <c r="M337" s="42"/>
      <c r="N337" s="42"/>
      <c r="O337" s="100"/>
      <c r="P337" s="45"/>
      <c r="Q337" s="100"/>
      <c r="R337" s="100"/>
      <c r="S337" s="42"/>
      <c r="T337" s="12">
        <f t="shared" si="135"/>
        <v>0</v>
      </c>
      <c r="U337" s="45"/>
      <c r="V337" s="12">
        <f t="shared" si="128"/>
        <v>0</v>
      </c>
      <c r="W337" s="12">
        <f t="shared" si="136"/>
        <v>0</v>
      </c>
      <c r="X337" s="116"/>
      <c r="Y337" s="117">
        <f t="shared" si="129"/>
        <v>142400</v>
      </c>
      <c r="Z337" s="12"/>
      <c r="AA337" s="12">
        <f t="shared" si="141"/>
        <v>142400</v>
      </c>
      <c r="AB337" s="12">
        <v>0.3</v>
      </c>
      <c r="AC337" s="12">
        <f t="shared" si="142"/>
        <v>427.2</v>
      </c>
      <c r="AD337" s="42"/>
      <c r="AE337" s="12"/>
    </row>
    <row r="338" spans="1:31" s="46" customFormat="1" ht="21">
      <c r="A338" s="42" t="s">
        <v>0</v>
      </c>
      <c r="B338" s="42" t="s">
        <v>1</v>
      </c>
      <c r="C338" s="45" t="s">
        <v>1134</v>
      </c>
      <c r="D338" s="45" t="s">
        <v>767</v>
      </c>
      <c r="E338" s="29" t="s">
        <v>907</v>
      </c>
      <c r="F338" s="47" t="s">
        <v>140</v>
      </c>
      <c r="G338" s="42"/>
      <c r="H338" s="42"/>
      <c r="I338" s="44">
        <v>78.3</v>
      </c>
      <c r="J338" s="44">
        <f t="shared" si="134"/>
        <v>78.3</v>
      </c>
      <c r="K338" s="42">
        <v>12000</v>
      </c>
      <c r="L338" s="42">
        <f t="shared" si="137"/>
        <v>939600</v>
      </c>
      <c r="M338" s="42"/>
      <c r="N338" s="42"/>
      <c r="O338" s="42"/>
      <c r="P338" s="45"/>
      <c r="Q338" s="42"/>
      <c r="R338" s="100"/>
      <c r="S338" s="42"/>
      <c r="T338" s="12">
        <f t="shared" si="135"/>
        <v>0</v>
      </c>
      <c r="U338" s="45"/>
      <c r="V338" s="12">
        <f t="shared" si="128"/>
        <v>0</v>
      </c>
      <c r="W338" s="12">
        <f t="shared" si="136"/>
        <v>0</v>
      </c>
      <c r="X338" s="116"/>
      <c r="Y338" s="117">
        <f t="shared" si="129"/>
        <v>939600</v>
      </c>
      <c r="Z338" s="12"/>
      <c r="AA338" s="12">
        <f t="shared" si="138"/>
        <v>939600</v>
      </c>
      <c r="AB338" s="12">
        <v>0.3</v>
      </c>
      <c r="AC338" s="12">
        <f t="shared" si="139"/>
        <v>2818.8</v>
      </c>
      <c r="AD338" s="42"/>
      <c r="AE338" s="12"/>
    </row>
    <row r="339" spans="1:31" s="46" customFormat="1" ht="21">
      <c r="A339" s="42" t="s">
        <v>0</v>
      </c>
      <c r="B339" s="42" t="s">
        <v>1</v>
      </c>
      <c r="C339" s="45" t="s">
        <v>1135</v>
      </c>
      <c r="D339" s="45" t="s">
        <v>768</v>
      </c>
      <c r="E339" s="29" t="s">
        <v>907</v>
      </c>
      <c r="F339" s="47" t="s">
        <v>140</v>
      </c>
      <c r="G339" s="42"/>
      <c r="H339" s="42"/>
      <c r="I339" s="44">
        <v>37.8</v>
      </c>
      <c r="J339" s="44">
        <f t="shared" si="134"/>
        <v>37.8</v>
      </c>
      <c r="K339" s="42">
        <v>12000</v>
      </c>
      <c r="L339" s="42">
        <f aca="true" t="shared" si="143" ref="L339:L350">+K339*J339</f>
        <v>453599.99999999994</v>
      </c>
      <c r="M339" s="42"/>
      <c r="N339" s="42"/>
      <c r="O339" s="42"/>
      <c r="P339" s="45"/>
      <c r="Q339" s="42"/>
      <c r="R339" s="100"/>
      <c r="S339" s="42"/>
      <c r="T339" s="12">
        <f t="shared" si="135"/>
        <v>0</v>
      </c>
      <c r="U339" s="45"/>
      <c r="V339" s="12">
        <f t="shared" si="128"/>
        <v>0</v>
      </c>
      <c r="W339" s="12">
        <f t="shared" si="136"/>
        <v>0</v>
      </c>
      <c r="X339" s="116"/>
      <c r="Y339" s="117">
        <f t="shared" si="129"/>
        <v>453599.99999999994</v>
      </c>
      <c r="Z339" s="12"/>
      <c r="AA339" s="12">
        <f aca="true" t="shared" si="144" ref="AA339:AA350">+Y339-Z339</f>
        <v>453599.99999999994</v>
      </c>
      <c r="AB339" s="12">
        <v>0.3</v>
      </c>
      <c r="AC339" s="12">
        <f aca="true" t="shared" si="145" ref="AC339:AC350">+AA339*AB339/100</f>
        <v>1360.7999999999997</v>
      </c>
      <c r="AD339" s="42"/>
      <c r="AE339" s="12"/>
    </row>
    <row r="340" spans="1:31" s="46" customFormat="1" ht="21">
      <c r="A340" s="42" t="s">
        <v>0</v>
      </c>
      <c r="B340" s="42" t="s">
        <v>1</v>
      </c>
      <c r="C340" s="45" t="s">
        <v>1136</v>
      </c>
      <c r="D340" s="45" t="s">
        <v>769</v>
      </c>
      <c r="E340" s="29" t="s">
        <v>907</v>
      </c>
      <c r="F340" s="47" t="s">
        <v>140</v>
      </c>
      <c r="G340" s="42"/>
      <c r="H340" s="42"/>
      <c r="I340" s="44">
        <v>78.5</v>
      </c>
      <c r="J340" s="44">
        <f t="shared" si="134"/>
        <v>78.5</v>
      </c>
      <c r="K340" s="42">
        <v>12000</v>
      </c>
      <c r="L340" s="42">
        <f t="shared" si="143"/>
        <v>942000</v>
      </c>
      <c r="M340" s="42"/>
      <c r="N340" s="42"/>
      <c r="O340" s="42"/>
      <c r="P340" s="45"/>
      <c r="Q340" s="42"/>
      <c r="R340" s="100"/>
      <c r="S340" s="42"/>
      <c r="T340" s="12">
        <f t="shared" si="135"/>
        <v>0</v>
      </c>
      <c r="U340" s="45"/>
      <c r="V340" s="12">
        <f t="shared" si="128"/>
        <v>0</v>
      </c>
      <c r="W340" s="12">
        <f t="shared" si="136"/>
        <v>0</v>
      </c>
      <c r="X340" s="116"/>
      <c r="Y340" s="117">
        <f t="shared" si="129"/>
        <v>942000</v>
      </c>
      <c r="Z340" s="12"/>
      <c r="AA340" s="12">
        <f t="shared" si="144"/>
        <v>942000</v>
      </c>
      <c r="AB340" s="12">
        <v>0.3</v>
      </c>
      <c r="AC340" s="12">
        <f t="shared" si="145"/>
        <v>2826</v>
      </c>
      <c r="AD340" s="42"/>
      <c r="AE340" s="12"/>
    </row>
    <row r="341" spans="1:31" s="46" customFormat="1" ht="21">
      <c r="A341" s="42" t="s">
        <v>0</v>
      </c>
      <c r="B341" s="42" t="s">
        <v>1</v>
      </c>
      <c r="C341" s="45" t="s">
        <v>1137</v>
      </c>
      <c r="D341" s="45" t="s">
        <v>770</v>
      </c>
      <c r="E341" s="29" t="s">
        <v>907</v>
      </c>
      <c r="F341" s="47" t="s">
        <v>140</v>
      </c>
      <c r="G341" s="42"/>
      <c r="H341" s="42"/>
      <c r="I341" s="44">
        <v>79.7</v>
      </c>
      <c r="J341" s="44">
        <f t="shared" si="134"/>
        <v>79.7</v>
      </c>
      <c r="K341" s="42">
        <v>12000</v>
      </c>
      <c r="L341" s="42">
        <f t="shared" si="143"/>
        <v>956400</v>
      </c>
      <c r="M341" s="42"/>
      <c r="N341" s="42"/>
      <c r="O341" s="42"/>
      <c r="P341" s="45"/>
      <c r="Q341" s="42"/>
      <c r="R341" s="100"/>
      <c r="S341" s="42"/>
      <c r="T341" s="12">
        <f t="shared" si="135"/>
        <v>0</v>
      </c>
      <c r="U341" s="45"/>
      <c r="V341" s="12">
        <f t="shared" si="128"/>
        <v>0</v>
      </c>
      <c r="W341" s="12">
        <f t="shared" si="136"/>
        <v>0</v>
      </c>
      <c r="X341" s="116"/>
      <c r="Y341" s="117">
        <f t="shared" si="129"/>
        <v>956400</v>
      </c>
      <c r="Z341" s="12"/>
      <c r="AA341" s="12">
        <f t="shared" si="144"/>
        <v>956400</v>
      </c>
      <c r="AB341" s="12">
        <v>0.3</v>
      </c>
      <c r="AC341" s="12">
        <f t="shared" si="145"/>
        <v>2869.2</v>
      </c>
      <c r="AD341" s="42"/>
      <c r="AE341" s="12"/>
    </row>
    <row r="342" spans="1:31" s="46" customFormat="1" ht="21">
      <c r="A342" s="42" t="s">
        <v>0</v>
      </c>
      <c r="B342" s="42" t="s">
        <v>1</v>
      </c>
      <c r="C342" s="45" t="s">
        <v>1138</v>
      </c>
      <c r="D342" s="51" t="s">
        <v>771</v>
      </c>
      <c r="E342" s="29" t="s">
        <v>907</v>
      </c>
      <c r="F342" s="47" t="s">
        <v>140</v>
      </c>
      <c r="G342" s="42"/>
      <c r="H342" s="42">
        <v>1</v>
      </c>
      <c r="I342" s="44">
        <v>89.9</v>
      </c>
      <c r="J342" s="44">
        <f t="shared" si="134"/>
        <v>189.9</v>
      </c>
      <c r="K342" s="42">
        <v>11250</v>
      </c>
      <c r="L342" s="42">
        <f t="shared" si="143"/>
        <v>2136375</v>
      </c>
      <c r="M342" s="42"/>
      <c r="N342" s="42"/>
      <c r="O342" s="100"/>
      <c r="P342" s="45"/>
      <c r="Q342" s="100"/>
      <c r="R342" s="100"/>
      <c r="S342" s="42"/>
      <c r="T342" s="12">
        <f t="shared" si="135"/>
        <v>0</v>
      </c>
      <c r="U342" s="45"/>
      <c r="V342" s="12">
        <f t="shared" si="128"/>
        <v>0</v>
      </c>
      <c r="W342" s="12">
        <f t="shared" si="136"/>
        <v>0</v>
      </c>
      <c r="X342" s="116"/>
      <c r="Y342" s="117">
        <f t="shared" si="129"/>
        <v>2136375</v>
      </c>
      <c r="Z342" s="12"/>
      <c r="AA342" s="12">
        <f t="shared" si="144"/>
        <v>2136375</v>
      </c>
      <c r="AB342" s="12">
        <v>0.3</v>
      </c>
      <c r="AC342" s="12">
        <f t="shared" si="145"/>
        <v>6409.125</v>
      </c>
      <c r="AD342" s="42"/>
      <c r="AE342" s="12"/>
    </row>
    <row r="343" spans="1:31" s="46" customFormat="1" ht="21">
      <c r="A343" s="42" t="s">
        <v>0</v>
      </c>
      <c r="B343" s="42" t="s">
        <v>1</v>
      </c>
      <c r="C343" s="45" t="s">
        <v>1139</v>
      </c>
      <c r="D343" s="51" t="s">
        <v>772</v>
      </c>
      <c r="E343" s="29" t="s">
        <v>907</v>
      </c>
      <c r="F343" s="47" t="s">
        <v>140</v>
      </c>
      <c r="G343" s="42"/>
      <c r="H343" s="42">
        <v>1</v>
      </c>
      <c r="I343" s="44">
        <v>10.7</v>
      </c>
      <c r="J343" s="44">
        <f t="shared" si="134"/>
        <v>110.7</v>
      </c>
      <c r="K343" s="42">
        <v>15000</v>
      </c>
      <c r="L343" s="42">
        <f t="shared" si="143"/>
        <v>1660500</v>
      </c>
      <c r="M343" s="42"/>
      <c r="N343" s="42"/>
      <c r="O343" s="100"/>
      <c r="P343" s="45"/>
      <c r="Q343" s="100"/>
      <c r="R343" s="100"/>
      <c r="S343" s="42"/>
      <c r="T343" s="12">
        <f t="shared" si="135"/>
        <v>0</v>
      </c>
      <c r="U343" s="45"/>
      <c r="V343" s="12">
        <f t="shared" si="128"/>
        <v>0</v>
      </c>
      <c r="W343" s="12">
        <f t="shared" si="136"/>
        <v>0</v>
      </c>
      <c r="X343" s="116"/>
      <c r="Y343" s="117">
        <f t="shared" si="129"/>
        <v>1660500</v>
      </c>
      <c r="Z343" s="12"/>
      <c r="AA343" s="12">
        <f t="shared" si="144"/>
        <v>1660500</v>
      </c>
      <c r="AB343" s="12">
        <v>0.3</v>
      </c>
      <c r="AC343" s="12">
        <f t="shared" si="145"/>
        <v>4981.5</v>
      </c>
      <c r="AD343" s="42"/>
      <c r="AE343" s="12"/>
    </row>
    <row r="344" spans="1:31" s="46" customFormat="1" ht="21">
      <c r="A344" s="42" t="s">
        <v>0</v>
      </c>
      <c r="B344" s="42" t="s">
        <v>1</v>
      </c>
      <c r="C344" s="45" t="s">
        <v>1140</v>
      </c>
      <c r="D344" s="51" t="s">
        <v>773</v>
      </c>
      <c r="E344" s="29" t="s">
        <v>907</v>
      </c>
      <c r="F344" s="47" t="s">
        <v>140</v>
      </c>
      <c r="G344" s="42"/>
      <c r="H344" s="42">
        <v>1</v>
      </c>
      <c r="I344" s="44">
        <v>11.2</v>
      </c>
      <c r="J344" s="44">
        <f t="shared" si="134"/>
        <v>111.2</v>
      </c>
      <c r="K344" s="42">
        <v>15000</v>
      </c>
      <c r="L344" s="42">
        <f t="shared" si="143"/>
        <v>1668000</v>
      </c>
      <c r="M344" s="42"/>
      <c r="N344" s="42"/>
      <c r="O344" s="42"/>
      <c r="P344" s="45"/>
      <c r="Q344" s="42"/>
      <c r="R344" s="100"/>
      <c r="S344" s="42"/>
      <c r="T344" s="12">
        <f t="shared" si="135"/>
        <v>0</v>
      </c>
      <c r="U344" s="45"/>
      <c r="V344" s="12">
        <f t="shared" si="128"/>
        <v>0</v>
      </c>
      <c r="W344" s="12">
        <f t="shared" si="136"/>
        <v>0</v>
      </c>
      <c r="X344" s="116"/>
      <c r="Y344" s="117">
        <f t="shared" si="129"/>
        <v>1668000</v>
      </c>
      <c r="Z344" s="12"/>
      <c r="AA344" s="12">
        <f t="shared" si="144"/>
        <v>1668000</v>
      </c>
      <c r="AB344" s="12">
        <v>0.3</v>
      </c>
      <c r="AC344" s="12">
        <f t="shared" si="145"/>
        <v>5004</v>
      </c>
      <c r="AD344" s="42"/>
      <c r="AE344" s="12"/>
    </row>
    <row r="345" spans="1:31" s="46" customFormat="1" ht="21">
      <c r="A345" s="42" t="s">
        <v>0</v>
      </c>
      <c r="B345" s="42" t="s">
        <v>1</v>
      </c>
      <c r="C345" s="45" t="s">
        <v>1141</v>
      </c>
      <c r="D345" s="51" t="s">
        <v>774</v>
      </c>
      <c r="E345" s="29" t="s">
        <v>907</v>
      </c>
      <c r="F345" s="47" t="s">
        <v>140</v>
      </c>
      <c r="G345" s="42"/>
      <c r="H345" s="42"/>
      <c r="I345" s="44">
        <v>92.1</v>
      </c>
      <c r="J345" s="44">
        <f t="shared" si="134"/>
        <v>92.1</v>
      </c>
      <c r="K345" s="42">
        <v>15000</v>
      </c>
      <c r="L345" s="42">
        <f t="shared" si="143"/>
        <v>1381500</v>
      </c>
      <c r="M345" s="42"/>
      <c r="N345" s="42"/>
      <c r="O345" s="42"/>
      <c r="P345" s="45"/>
      <c r="Q345" s="42"/>
      <c r="R345" s="100"/>
      <c r="S345" s="42"/>
      <c r="T345" s="12">
        <f t="shared" si="135"/>
        <v>0</v>
      </c>
      <c r="U345" s="45"/>
      <c r="V345" s="12">
        <f t="shared" si="128"/>
        <v>0</v>
      </c>
      <c r="W345" s="12">
        <f t="shared" si="136"/>
        <v>0</v>
      </c>
      <c r="X345" s="116"/>
      <c r="Y345" s="117">
        <f t="shared" si="129"/>
        <v>1381500</v>
      </c>
      <c r="Z345" s="12"/>
      <c r="AA345" s="12">
        <f t="shared" si="144"/>
        <v>1381500</v>
      </c>
      <c r="AB345" s="12">
        <v>0.3</v>
      </c>
      <c r="AC345" s="12">
        <f t="shared" si="145"/>
        <v>4144.5</v>
      </c>
      <c r="AD345" s="42"/>
      <c r="AE345" s="12"/>
    </row>
    <row r="346" spans="1:31" s="46" customFormat="1" ht="21">
      <c r="A346" s="42" t="s">
        <v>0</v>
      </c>
      <c r="B346" s="42" t="s">
        <v>1</v>
      </c>
      <c r="C346" s="45" t="s">
        <v>1142</v>
      </c>
      <c r="D346" s="51" t="s">
        <v>775</v>
      </c>
      <c r="E346" s="29" t="s">
        <v>907</v>
      </c>
      <c r="F346" s="47" t="s">
        <v>140</v>
      </c>
      <c r="G346" s="42"/>
      <c r="H346" s="42"/>
      <c r="I346" s="44">
        <v>92</v>
      </c>
      <c r="J346" s="44">
        <f t="shared" si="134"/>
        <v>92</v>
      </c>
      <c r="K346" s="42">
        <v>15000</v>
      </c>
      <c r="L346" s="42">
        <f t="shared" si="143"/>
        <v>1380000</v>
      </c>
      <c r="M346" s="42"/>
      <c r="N346" s="42"/>
      <c r="O346" s="42"/>
      <c r="P346" s="45"/>
      <c r="Q346" s="42"/>
      <c r="R346" s="100"/>
      <c r="S346" s="42"/>
      <c r="T346" s="12">
        <f t="shared" si="135"/>
        <v>0</v>
      </c>
      <c r="U346" s="45"/>
      <c r="V346" s="12">
        <f t="shared" si="128"/>
        <v>0</v>
      </c>
      <c r="W346" s="12">
        <f t="shared" si="136"/>
        <v>0</v>
      </c>
      <c r="X346" s="116"/>
      <c r="Y346" s="117">
        <f t="shared" si="129"/>
        <v>1380000</v>
      </c>
      <c r="Z346" s="12"/>
      <c r="AA346" s="12">
        <f t="shared" si="144"/>
        <v>1380000</v>
      </c>
      <c r="AB346" s="12">
        <v>0.3</v>
      </c>
      <c r="AC346" s="12">
        <f t="shared" si="145"/>
        <v>4140</v>
      </c>
      <c r="AD346" s="42"/>
      <c r="AE346" s="12"/>
    </row>
    <row r="347" spans="1:31" s="46" customFormat="1" ht="21">
      <c r="A347" s="42" t="s">
        <v>0</v>
      </c>
      <c r="B347" s="42" t="s">
        <v>1</v>
      </c>
      <c r="C347" s="45" t="s">
        <v>1143</v>
      </c>
      <c r="D347" s="51" t="s">
        <v>776</v>
      </c>
      <c r="E347" s="29" t="s">
        <v>907</v>
      </c>
      <c r="F347" s="47" t="s">
        <v>140</v>
      </c>
      <c r="G347" s="42"/>
      <c r="H347" s="42"/>
      <c r="I347" s="44">
        <v>99.5</v>
      </c>
      <c r="J347" s="44">
        <f t="shared" si="134"/>
        <v>99.5</v>
      </c>
      <c r="K347" s="42">
        <v>15000</v>
      </c>
      <c r="L347" s="42">
        <f t="shared" si="143"/>
        <v>1492500</v>
      </c>
      <c r="M347" s="42"/>
      <c r="N347" s="42"/>
      <c r="O347" s="42"/>
      <c r="P347" s="45"/>
      <c r="Q347" s="42"/>
      <c r="R347" s="100"/>
      <c r="S347" s="42"/>
      <c r="T347" s="12">
        <f t="shared" si="135"/>
        <v>0</v>
      </c>
      <c r="U347" s="45"/>
      <c r="V347" s="12">
        <f t="shared" si="128"/>
        <v>0</v>
      </c>
      <c r="W347" s="12">
        <f t="shared" si="136"/>
        <v>0</v>
      </c>
      <c r="X347" s="116"/>
      <c r="Y347" s="117">
        <f t="shared" si="129"/>
        <v>1492500</v>
      </c>
      <c r="Z347" s="12"/>
      <c r="AA347" s="12">
        <f t="shared" si="144"/>
        <v>1492500</v>
      </c>
      <c r="AB347" s="12">
        <v>0.3</v>
      </c>
      <c r="AC347" s="12">
        <f t="shared" si="145"/>
        <v>4477.5</v>
      </c>
      <c r="AD347" s="42"/>
      <c r="AE347" s="12"/>
    </row>
    <row r="348" spans="1:31" s="46" customFormat="1" ht="21">
      <c r="A348" s="42" t="s">
        <v>0</v>
      </c>
      <c r="B348" s="42" t="s">
        <v>1</v>
      </c>
      <c r="C348" s="45" t="s">
        <v>1144</v>
      </c>
      <c r="D348" s="51" t="s">
        <v>777</v>
      </c>
      <c r="E348" s="29" t="s">
        <v>907</v>
      </c>
      <c r="F348" s="47" t="s">
        <v>140</v>
      </c>
      <c r="G348" s="42"/>
      <c r="H348" s="42">
        <v>1</v>
      </c>
      <c r="I348" s="44">
        <v>3.7</v>
      </c>
      <c r="J348" s="44">
        <f t="shared" si="134"/>
        <v>103.7</v>
      </c>
      <c r="K348" s="42">
        <v>15000</v>
      </c>
      <c r="L348" s="42">
        <f t="shared" si="143"/>
        <v>1555500</v>
      </c>
      <c r="M348" s="42"/>
      <c r="N348" s="42"/>
      <c r="O348" s="42"/>
      <c r="P348" s="45"/>
      <c r="Q348" s="42"/>
      <c r="R348" s="100"/>
      <c r="S348" s="42"/>
      <c r="T348" s="12">
        <f t="shared" si="135"/>
        <v>0</v>
      </c>
      <c r="U348" s="45"/>
      <c r="V348" s="12">
        <f t="shared" si="128"/>
        <v>0</v>
      </c>
      <c r="W348" s="12">
        <f t="shared" si="136"/>
        <v>0</v>
      </c>
      <c r="X348" s="116"/>
      <c r="Y348" s="117">
        <f t="shared" si="129"/>
        <v>1555500</v>
      </c>
      <c r="Z348" s="12"/>
      <c r="AA348" s="12">
        <f t="shared" si="144"/>
        <v>1555500</v>
      </c>
      <c r="AB348" s="12">
        <v>0.3</v>
      </c>
      <c r="AC348" s="12">
        <f t="shared" si="145"/>
        <v>4666.5</v>
      </c>
      <c r="AD348" s="42"/>
      <c r="AE348" s="12"/>
    </row>
    <row r="349" spans="1:31" s="46" customFormat="1" ht="21">
      <c r="A349" s="42" t="s">
        <v>0</v>
      </c>
      <c r="B349" s="42" t="s">
        <v>1</v>
      </c>
      <c r="C349" s="45" t="s">
        <v>1145</v>
      </c>
      <c r="D349" s="51" t="s">
        <v>778</v>
      </c>
      <c r="E349" s="29" t="s">
        <v>907</v>
      </c>
      <c r="F349" s="47" t="s">
        <v>177</v>
      </c>
      <c r="G349" s="42">
        <v>6</v>
      </c>
      <c r="H349" s="42">
        <v>1</v>
      </c>
      <c r="I349" s="44"/>
      <c r="J349" s="44">
        <f t="shared" si="134"/>
        <v>2500</v>
      </c>
      <c r="K349" s="42">
        <v>10000</v>
      </c>
      <c r="L349" s="42">
        <f t="shared" si="143"/>
        <v>25000000</v>
      </c>
      <c r="M349" s="42"/>
      <c r="N349" s="42"/>
      <c r="O349" s="42"/>
      <c r="P349" s="45"/>
      <c r="Q349" s="42"/>
      <c r="R349" s="100"/>
      <c r="S349" s="42"/>
      <c r="T349" s="12">
        <f t="shared" si="135"/>
        <v>0</v>
      </c>
      <c r="U349" s="45"/>
      <c r="V349" s="12">
        <f t="shared" si="128"/>
        <v>0</v>
      </c>
      <c r="W349" s="12">
        <f t="shared" si="136"/>
        <v>0</v>
      </c>
      <c r="X349" s="116"/>
      <c r="Y349" s="117">
        <f t="shared" si="129"/>
        <v>25000000</v>
      </c>
      <c r="Z349" s="12">
        <f>+Y349</f>
        <v>25000000</v>
      </c>
      <c r="AA349" s="12">
        <f t="shared" si="144"/>
        <v>0</v>
      </c>
      <c r="AB349" s="12"/>
      <c r="AC349" s="12">
        <f t="shared" si="145"/>
        <v>0</v>
      </c>
      <c r="AD349" s="42"/>
      <c r="AE349" s="12"/>
    </row>
    <row r="350" spans="1:31" s="46" customFormat="1" ht="21">
      <c r="A350" s="42" t="s">
        <v>0</v>
      </c>
      <c r="B350" s="42" t="s">
        <v>1</v>
      </c>
      <c r="C350" s="45" t="s">
        <v>1146</v>
      </c>
      <c r="D350" s="51" t="s">
        <v>779</v>
      </c>
      <c r="E350" s="29" t="s">
        <v>907</v>
      </c>
      <c r="F350" s="47" t="s">
        <v>140</v>
      </c>
      <c r="G350" s="42">
        <v>2</v>
      </c>
      <c r="H350" s="42"/>
      <c r="I350" s="44"/>
      <c r="J350" s="44">
        <f t="shared" si="134"/>
        <v>800</v>
      </c>
      <c r="K350" s="42">
        <v>3900</v>
      </c>
      <c r="L350" s="42">
        <f t="shared" si="143"/>
        <v>3120000</v>
      </c>
      <c r="M350" s="42"/>
      <c r="N350" s="42"/>
      <c r="O350" s="42"/>
      <c r="P350" s="45"/>
      <c r="Q350" s="42"/>
      <c r="R350" s="100"/>
      <c r="S350" s="42"/>
      <c r="T350" s="12">
        <f t="shared" si="135"/>
        <v>0</v>
      </c>
      <c r="U350" s="45"/>
      <c r="V350" s="12">
        <f t="shared" si="128"/>
        <v>0</v>
      </c>
      <c r="W350" s="12">
        <f t="shared" si="136"/>
        <v>0</v>
      </c>
      <c r="X350" s="116"/>
      <c r="Y350" s="117">
        <f t="shared" si="129"/>
        <v>3120000</v>
      </c>
      <c r="Z350" s="12"/>
      <c r="AA350" s="12">
        <f t="shared" si="144"/>
        <v>3120000</v>
      </c>
      <c r="AB350" s="12">
        <v>0.3</v>
      </c>
      <c r="AC350" s="12">
        <f t="shared" si="145"/>
        <v>9360</v>
      </c>
      <c r="AD350" s="42"/>
      <c r="AE350" s="12"/>
    </row>
    <row r="351" spans="1:31" s="46" customFormat="1" ht="21">
      <c r="A351" s="42" t="s">
        <v>0</v>
      </c>
      <c r="B351" s="42" t="s">
        <v>1</v>
      </c>
      <c r="C351" s="45" t="s">
        <v>1147</v>
      </c>
      <c r="D351" s="45" t="s">
        <v>780</v>
      </c>
      <c r="E351" s="29" t="s">
        <v>907</v>
      </c>
      <c r="F351" s="47" t="s">
        <v>137</v>
      </c>
      <c r="G351" s="42"/>
      <c r="H351" s="42"/>
      <c r="I351" s="44">
        <v>19.1</v>
      </c>
      <c r="J351" s="44">
        <f aca="true" t="shared" si="146" ref="J351:J357">+I351+(H351*100)+(G351*400)</f>
        <v>19.1</v>
      </c>
      <c r="K351" s="42">
        <v>15000</v>
      </c>
      <c r="L351" s="42">
        <f t="shared" si="29"/>
        <v>286500</v>
      </c>
      <c r="M351" s="42"/>
      <c r="N351" s="42" t="s">
        <v>62</v>
      </c>
      <c r="O351" s="101" t="s">
        <v>446</v>
      </c>
      <c r="P351" s="45">
        <v>2</v>
      </c>
      <c r="Q351" s="100">
        <v>152</v>
      </c>
      <c r="R351" s="100"/>
      <c r="S351" s="42">
        <v>6750</v>
      </c>
      <c r="T351" s="12">
        <f aca="true" t="shared" si="147" ref="T351:T357">+Q351*S351</f>
        <v>1026000</v>
      </c>
      <c r="U351" s="102" t="s">
        <v>84</v>
      </c>
      <c r="V351" s="12">
        <f>+T351*0.2</f>
        <v>205200</v>
      </c>
      <c r="W351" s="12">
        <f aca="true" t="shared" si="148" ref="W351:W357">+T351-V351</f>
        <v>820800</v>
      </c>
      <c r="X351" s="116"/>
      <c r="Y351" s="117">
        <f t="shared" si="129"/>
        <v>1107300</v>
      </c>
      <c r="Z351" s="12"/>
      <c r="AA351" s="12">
        <f aca="true" t="shared" si="149" ref="AA351:AA367">+Y351-Z351</f>
        <v>1107300</v>
      </c>
      <c r="AB351" s="12">
        <v>0.02</v>
      </c>
      <c r="AC351" s="12">
        <f aca="true" t="shared" si="150" ref="AC351:AC367">+AA351*AB351/100</f>
        <v>221.46</v>
      </c>
      <c r="AD351" s="42"/>
      <c r="AE351" s="12"/>
    </row>
    <row r="352" spans="1:31" s="46" customFormat="1" ht="21">
      <c r="A352" s="42" t="s">
        <v>0</v>
      </c>
      <c r="B352" s="42" t="s">
        <v>1</v>
      </c>
      <c r="C352" s="45" t="s">
        <v>1148</v>
      </c>
      <c r="D352" s="45" t="s">
        <v>781</v>
      </c>
      <c r="E352" s="29" t="s">
        <v>907</v>
      </c>
      <c r="F352" s="47" t="s">
        <v>137</v>
      </c>
      <c r="G352" s="42"/>
      <c r="H352" s="42"/>
      <c r="I352" s="44">
        <v>24.9</v>
      </c>
      <c r="J352" s="44">
        <f t="shared" si="146"/>
        <v>24.9</v>
      </c>
      <c r="K352" s="42">
        <v>10000</v>
      </c>
      <c r="L352" s="42">
        <f t="shared" si="29"/>
        <v>249000</v>
      </c>
      <c r="M352" s="42"/>
      <c r="N352" s="42" t="s">
        <v>62</v>
      </c>
      <c r="O352" s="101" t="s">
        <v>446</v>
      </c>
      <c r="P352" s="45">
        <v>2</v>
      </c>
      <c r="Q352" s="100">
        <v>52</v>
      </c>
      <c r="R352" s="100"/>
      <c r="S352" s="42">
        <v>6750</v>
      </c>
      <c r="T352" s="12">
        <f t="shared" si="147"/>
        <v>351000</v>
      </c>
      <c r="U352" s="102" t="s">
        <v>84</v>
      </c>
      <c r="V352" s="12">
        <f>+T352*0.2</f>
        <v>70200</v>
      </c>
      <c r="W352" s="12">
        <f t="shared" si="148"/>
        <v>280800</v>
      </c>
      <c r="X352" s="116"/>
      <c r="Y352" s="117">
        <f t="shared" si="129"/>
        <v>529800</v>
      </c>
      <c r="Z352" s="12"/>
      <c r="AA352" s="12">
        <f t="shared" si="149"/>
        <v>529800</v>
      </c>
      <c r="AB352" s="12">
        <v>0.02</v>
      </c>
      <c r="AC352" s="12">
        <f t="shared" si="150"/>
        <v>105.96</v>
      </c>
      <c r="AD352" s="42"/>
      <c r="AE352" s="12"/>
    </row>
    <row r="353" spans="1:31" s="46" customFormat="1" ht="21">
      <c r="A353" s="42"/>
      <c r="B353" s="42"/>
      <c r="C353" s="45"/>
      <c r="D353" s="45"/>
      <c r="E353" s="45"/>
      <c r="F353" s="47"/>
      <c r="G353" s="42"/>
      <c r="H353" s="42"/>
      <c r="I353" s="44"/>
      <c r="J353" s="44">
        <f t="shared" si="146"/>
        <v>0</v>
      </c>
      <c r="K353" s="42"/>
      <c r="L353" s="42">
        <f t="shared" si="29"/>
        <v>0</v>
      </c>
      <c r="M353" s="42"/>
      <c r="N353" s="42"/>
      <c r="O353" s="42"/>
      <c r="P353" s="31"/>
      <c r="Q353" s="42"/>
      <c r="R353" s="42"/>
      <c r="S353" s="42"/>
      <c r="T353" s="12">
        <f t="shared" si="147"/>
        <v>0</v>
      </c>
      <c r="U353" s="45"/>
      <c r="V353" s="12">
        <f>+T353*0</f>
        <v>0</v>
      </c>
      <c r="W353" s="12">
        <f t="shared" si="148"/>
        <v>0</v>
      </c>
      <c r="X353" s="116"/>
      <c r="Y353" s="117">
        <f t="shared" si="129"/>
        <v>0</v>
      </c>
      <c r="Z353" s="12"/>
      <c r="AA353" s="12">
        <f t="shared" si="149"/>
        <v>0</v>
      </c>
      <c r="AB353" s="12"/>
      <c r="AC353" s="12">
        <f t="shared" si="150"/>
        <v>0</v>
      </c>
      <c r="AD353" s="42"/>
      <c r="AE353" s="12"/>
    </row>
    <row r="354" spans="1:31" s="46" customFormat="1" ht="21">
      <c r="A354" s="42" t="s">
        <v>0</v>
      </c>
      <c r="B354" s="42" t="s">
        <v>1</v>
      </c>
      <c r="C354" s="45" t="s">
        <v>1607</v>
      </c>
      <c r="D354" s="51" t="s">
        <v>1604</v>
      </c>
      <c r="E354" s="29" t="s">
        <v>907</v>
      </c>
      <c r="F354" s="47" t="s">
        <v>137</v>
      </c>
      <c r="G354" s="42"/>
      <c r="H354" s="42"/>
      <c r="I354" s="44">
        <v>72</v>
      </c>
      <c r="J354" s="44">
        <f t="shared" si="146"/>
        <v>72</v>
      </c>
      <c r="K354" s="42">
        <v>20000</v>
      </c>
      <c r="L354" s="42">
        <f t="shared" si="29"/>
        <v>1440000</v>
      </c>
      <c r="M354" s="42"/>
      <c r="N354" s="42" t="s">
        <v>64</v>
      </c>
      <c r="O354" s="104" t="s">
        <v>446</v>
      </c>
      <c r="P354" s="45">
        <v>2</v>
      </c>
      <c r="Q354" s="104">
        <v>140</v>
      </c>
      <c r="R354" s="100"/>
      <c r="S354" s="42">
        <v>6550</v>
      </c>
      <c r="T354" s="12">
        <f t="shared" si="147"/>
        <v>917000</v>
      </c>
      <c r="U354" s="45" t="s">
        <v>379</v>
      </c>
      <c r="V354" s="12">
        <f>+T354*0.03</f>
        <v>27510</v>
      </c>
      <c r="W354" s="12">
        <f t="shared" si="148"/>
        <v>889490</v>
      </c>
      <c r="X354" s="116"/>
      <c r="Y354" s="117">
        <f t="shared" si="129"/>
        <v>2329490</v>
      </c>
      <c r="Z354" s="12"/>
      <c r="AA354" s="12">
        <f t="shared" si="149"/>
        <v>2329490</v>
      </c>
      <c r="AB354" s="12">
        <v>0.02</v>
      </c>
      <c r="AC354" s="12">
        <f t="shared" si="150"/>
        <v>465.898</v>
      </c>
      <c r="AD354" s="42"/>
      <c r="AE354" s="12"/>
    </row>
    <row r="355" spans="1:31" s="46" customFormat="1" ht="21">
      <c r="A355" s="42" t="s">
        <v>0</v>
      </c>
      <c r="B355" s="42" t="s">
        <v>1</v>
      </c>
      <c r="C355" s="45" t="s">
        <v>1608</v>
      </c>
      <c r="D355" s="45" t="s">
        <v>1605</v>
      </c>
      <c r="E355" s="29" t="s">
        <v>907</v>
      </c>
      <c r="F355" s="47" t="s">
        <v>137</v>
      </c>
      <c r="G355" s="42"/>
      <c r="H355" s="42"/>
      <c r="I355" s="44">
        <v>7</v>
      </c>
      <c r="J355" s="44">
        <f t="shared" si="146"/>
        <v>7</v>
      </c>
      <c r="K355" s="42">
        <v>10000</v>
      </c>
      <c r="L355" s="42">
        <f t="shared" si="29"/>
        <v>70000</v>
      </c>
      <c r="M355" s="42"/>
      <c r="N355" s="42" t="s">
        <v>62</v>
      </c>
      <c r="O355" s="104" t="s">
        <v>446</v>
      </c>
      <c r="P355" s="45">
        <v>2</v>
      </c>
      <c r="Q355" s="104">
        <v>56</v>
      </c>
      <c r="R355" s="104"/>
      <c r="S355" s="42">
        <v>6750</v>
      </c>
      <c r="T355" s="12">
        <f t="shared" si="147"/>
        <v>378000</v>
      </c>
      <c r="U355" s="102" t="s">
        <v>84</v>
      </c>
      <c r="V355" s="12">
        <f>+T355*0.2</f>
        <v>75600</v>
      </c>
      <c r="W355" s="12">
        <f t="shared" si="148"/>
        <v>302400</v>
      </c>
      <c r="X355" s="116"/>
      <c r="Y355" s="117">
        <f t="shared" si="129"/>
        <v>372400</v>
      </c>
      <c r="Z355" s="12"/>
      <c r="AA355" s="12">
        <f t="shared" si="149"/>
        <v>372400</v>
      </c>
      <c r="AB355" s="12">
        <v>0.02</v>
      </c>
      <c r="AC355" s="12">
        <f t="shared" si="150"/>
        <v>74.48</v>
      </c>
      <c r="AD355" s="42"/>
      <c r="AE355" s="12"/>
    </row>
    <row r="356" spans="1:31" s="46" customFormat="1" ht="21">
      <c r="A356" s="42" t="s">
        <v>0</v>
      </c>
      <c r="B356" s="42" t="s">
        <v>1</v>
      </c>
      <c r="C356" s="45" t="s">
        <v>1609</v>
      </c>
      <c r="D356" s="45" t="s">
        <v>1606</v>
      </c>
      <c r="E356" s="29" t="s">
        <v>907</v>
      </c>
      <c r="F356" s="47" t="s">
        <v>137</v>
      </c>
      <c r="G356" s="42"/>
      <c r="H356" s="42"/>
      <c r="I356" s="44">
        <v>16</v>
      </c>
      <c r="J356" s="44">
        <f t="shared" si="146"/>
        <v>16</v>
      </c>
      <c r="K356" s="42">
        <v>8000</v>
      </c>
      <c r="L356" s="42">
        <f t="shared" si="29"/>
        <v>128000</v>
      </c>
      <c r="M356" s="42"/>
      <c r="N356" s="42" t="s">
        <v>62</v>
      </c>
      <c r="O356" s="104" t="s">
        <v>446</v>
      </c>
      <c r="P356" s="45">
        <v>2</v>
      </c>
      <c r="Q356" s="104">
        <v>56</v>
      </c>
      <c r="R356" s="104"/>
      <c r="S356" s="42">
        <v>6750</v>
      </c>
      <c r="T356" s="12">
        <f t="shared" si="147"/>
        <v>378000</v>
      </c>
      <c r="U356" s="102" t="s">
        <v>84</v>
      </c>
      <c r="V356" s="12">
        <f>+T356*0.2</f>
        <v>75600</v>
      </c>
      <c r="W356" s="12">
        <f t="shared" si="148"/>
        <v>302400</v>
      </c>
      <c r="X356" s="116"/>
      <c r="Y356" s="117">
        <f t="shared" si="129"/>
        <v>430400</v>
      </c>
      <c r="Z356" s="12"/>
      <c r="AA356" s="12">
        <f t="shared" si="149"/>
        <v>430400</v>
      </c>
      <c r="AB356" s="12">
        <v>0.02</v>
      </c>
      <c r="AC356" s="12">
        <f t="shared" si="150"/>
        <v>86.08</v>
      </c>
      <c r="AD356" s="42"/>
      <c r="AE356" s="12"/>
    </row>
    <row r="357" spans="1:31" s="46" customFormat="1" ht="21">
      <c r="A357" s="42"/>
      <c r="B357" s="42"/>
      <c r="C357" s="45"/>
      <c r="D357" s="45"/>
      <c r="E357" s="45"/>
      <c r="F357" s="47"/>
      <c r="G357" s="42"/>
      <c r="H357" s="42"/>
      <c r="I357" s="44"/>
      <c r="J357" s="44">
        <f t="shared" si="146"/>
        <v>0</v>
      </c>
      <c r="K357" s="42"/>
      <c r="L357" s="42">
        <f t="shared" si="29"/>
        <v>0</v>
      </c>
      <c r="M357" s="42"/>
      <c r="N357" s="42"/>
      <c r="O357" s="42"/>
      <c r="P357" s="31"/>
      <c r="Q357" s="42"/>
      <c r="R357" s="42"/>
      <c r="S357" s="42"/>
      <c r="T357" s="12">
        <f t="shared" si="147"/>
        <v>0</v>
      </c>
      <c r="U357" s="45"/>
      <c r="V357" s="12">
        <f>+T357*0</f>
        <v>0</v>
      </c>
      <c r="W357" s="12">
        <f t="shared" si="148"/>
        <v>0</v>
      </c>
      <c r="X357" s="116"/>
      <c r="Y357" s="117">
        <f t="shared" si="129"/>
        <v>0</v>
      </c>
      <c r="Z357" s="12"/>
      <c r="AA357" s="12">
        <f t="shared" si="149"/>
        <v>0</v>
      </c>
      <c r="AB357" s="12"/>
      <c r="AC357" s="12">
        <f t="shared" si="150"/>
        <v>0</v>
      </c>
      <c r="AD357" s="42"/>
      <c r="AE357" s="12"/>
    </row>
    <row r="358" spans="1:31" s="46" customFormat="1" ht="21">
      <c r="A358" s="42" t="s">
        <v>0</v>
      </c>
      <c r="B358" s="42" t="s">
        <v>1</v>
      </c>
      <c r="C358" s="45" t="s">
        <v>1610</v>
      </c>
      <c r="D358" s="51" t="s">
        <v>1619</v>
      </c>
      <c r="E358" s="10" t="s">
        <v>909</v>
      </c>
      <c r="F358" s="47" t="s">
        <v>137</v>
      </c>
      <c r="G358" s="42"/>
      <c r="H358" s="42"/>
      <c r="I358" s="44">
        <v>22.2</v>
      </c>
      <c r="J358" s="44">
        <f aca="true" t="shared" si="151" ref="J358:J367">+I358+(H358*100)+(G358*400)</f>
        <v>22.2</v>
      </c>
      <c r="K358" s="42">
        <v>15000</v>
      </c>
      <c r="L358" s="42">
        <f t="shared" si="29"/>
        <v>333000</v>
      </c>
      <c r="M358" s="42"/>
      <c r="N358" s="42" t="s">
        <v>64</v>
      </c>
      <c r="O358" s="104" t="s">
        <v>446</v>
      </c>
      <c r="P358" s="45">
        <v>2</v>
      </c>
      <c r="Q358" s="104">
        <v>80</v>
      </c>
      <c r="R358" s="100"/>
      <c r="S358" s="42">
        <v>6550</v>
      </c>
      <c r="T358" s="12">
        <f aca="true" t="shared" si="152" ref="T358:T367">+Q358*S358</f>
        <v>524000</v>
      </c>
      <c r="U358" s="102" t="s">
        <v>84</v>
      </c>
      <c r="V358" s="12">
        <f>+T358*0.2</f>
        <v>104800</v>
      </c>
      <c r="W358" s="12">
        <f aca="true" t="shared" si="153" ref="W358:W367">+T358-V358</f>
        <v>419200</v>
      </c>
      <c r="X358" s="116"/>
      <c r="Y358" s="117">
        <f t="shared" si="129"/>
        <v>752200</v>
      </c>
      <c r="Z358" s="12">
        <f>+Y358</f>
        <v>752200</v>
      </c>
      <c r="AA358" s="12">
        <f t="shared" si="149"/>
        <v>0</v>
      </c>
      <c r="AB358" s="12"/>
      <c r="AC358" s="12">
        <f t="shared" si="150"/>
        <v>0</v>
      </c>
      <c r="AD358" s="42" t="s">
        <v>906</v>
      </c>
      <c r="AE358" s="12"/>
    </row>
    <row r="359" spans="1:31" s="46" customFormat="1" ht="21">
      <c r="A359" s="42" t="s">
        <v>0</v>
      </c>
      <c r="B359" s="42" t="s">
        <v>1</v>
      </c>
      <c r="C359" s="45" t="s">
        <v>1611</v>
      </c>
      <c r="D359" s="51" t="s">
        <v>1620</v>
      </c>
      <c r="E359" s="10" t="s">
        <v>909</v>
      </c>
      <c r="F359" s="47" t="s">
        <v>137</v>
      </c>
      <c r="G359" s="42"/>
      <c r="H359" s="42"/>
      <c r="I359" s="44">
        <v>22</v>
      </c>
      <c r="J359" s="44">
        <f t="shared" si="151"/>
        <v>22</v>
      </c>
      <c r="K359" s="42">
        <v>15000</v>
      </c>
      <c r="L359" s="42">
        <f t="shared" si="29"/>
        <v>330000</v>
      </c>
      <c r="M359" s="42"/>
      <c r="N359" s="42"/>
      <c r="O359" s="100"/>
      <c r="P359" s="31"/>
      <c r="Q359" s="100"/>
      <c r="R359" s="100"/>
      <c r="S359" s="42"/>
      <c r="T359" s="12">
        <f t="shared" si="152"/>
        <v>0</v>
      </c>
      <c r="U359" s="45"/>
      <c r="V359" s="12">
        <f aca="true" t="shared" si="154" ref="V359:V367">+T359*0</f>
        <v>0</v>
      </c>
      <c r="W359" s="12">
        <f t="shared" si="153"/>
        <v>0</v>
      </c>
      <c r="X359" s="116"/>
      <c r="Y359" s="117">
        <f t="shared" si="129"/>
        <v>330000</v>
      </c>
      <c r="Z359" s="12">
        <f>+Y359</f>
        <v>330000</v>
      </c>
      <c r="AA359" s="12">
        <f t="shared" si="149"/>
        <v>0</v>
      </c>
      <c r="AB359" s="12"/>
      <c r="AC359" s="12">
        <f t="shared" si="150"/>
        <v>0</v>
      </c>
      <c r="AD359" s="42"/>
      <c r="AE359" s="12"/>
    </row>
    <row r="360" spans="1:31" s="46" customFormat="1" ht="21">
      <c r="A360" s="42" t="s">
        <v>0</v>
      </c>
      <c r="B360" s="42" t="s">
        <v>1</v>
      </c>
      <c r="C360" s="45" t="s">
        <v>1612</v>
      </c>
      <c r="D360" s="51" t="s">
        <v>1621</v>
      </c>
      <c r="E360" s="10" t="s">
        <v>909</v>
      </c>
      <c r="F360" s="47" t="s">
        <v>137</v>
      </c>
      <c r="G360" s="42"/>
      <c r="H360" s="42"/>
      <c r="I360" s="44">
        <v>21.5</v>
      </c>
      <c r="J360" s="44">
        <f t="shared" si="151"/>
        <v>21.5</v>
      </c>
      <c r="K360" s="42">
        <v>15000</v>
      </c>
      <c r="L360" s="42">
        <f t="shared" si="29"/>
        <v>322500</v>
      </c>
      <c r="M360" s="42"/>
      <c r="N360" s="42"/>
      <c r="O360" s="42"/>
      <c r="P360" s="31"/>
      <c r="Q360" s="42"/>
      <c r="R360" s="100"/>
      <c r="S360" s="42"/>
      <c r="T360" s="12">
        <f t="shared" si="152"/>
        <v>0</v>
      </c>
      <c r="U360" s="45"/>
      <c r="V360" s="12">
        <f t="shared" si="154"/>
        <v>0</v>
      </c>
      <c r="W360" s="12">
        <f t="shared" si="153"/>
        <v>0</v>
      </c>
      <c r="X360" s="116"/>
      <c r="Y360" s="117">
        <f t="shared" si="129"/>
        <v>322500</v>
      </c>
      <c r="Z360" s="12">
        <f>+Y360</f>
        <v>322500</v>
      </c>
      <c r="AA360" s="12">
        <f t="shared" si="149"/>
        <v>0</v>
      </c>
      <c r="AB360" s="12"/>
      <c r="AC360" s="12">
        <f t="shared" si="150"/>
        <v>0</v>
      </c>
      <c r="AD360" s="42"/>
      <c r="AE360" s="12"/>
    </row>
    <row r="361" spans="1:31" s="46" customFormat="1" ht="21">
      <c r="A361" s="42" t="s">
        <v>0</v>
      </c>
      <c r="B361" s="42" t="s">
        <v>1</v>
      </c>
      <c r="C361" s="45" t="s">
        <v>1613</v>
      </c>
      <c r="D361" s="51" t="s">
        <v>1622</v>
      </c>
      <c r="E361" s="10" t="s">
        <v>909</v>
      </c>
      <c r="F361" s="47" t="s">
        <v>137</v>
      </c>
      <c r="G361" s="42"/>
      <c r="H361" s="42"/>
      <c r="I361" s="44">
        <v>21.1</v>
      </c>
      <c r="J361" s="44">
        <f t="shared" si="151"/>
        <v>21.1</v>
      </c>
      <c r="K361" s="42">
        <v>15000</v>
      </c>
      <c r="L361" s="42">
        <f t="shared" si="29"/>
        <v>316500</v>
      </c>
      <c r="M361" s="42"/>
      <c r="N361" s="42"/>
      <c r="O361" s="42"/>
      <c r="P361" s="31"/>
      <c r="Q361" s="42"/>
      <c r="R361" s="100"/>
      <c r="S361" s="42"/>
      <c r="T361" s="12">
        <f t="shared" si="152"/>
        <v>0</v>
      </c>
      <c r="U361" s="45"/>
      <c r="V361" s="12">
        <f t="shared" si="154"/>
        <v>0</v>
      </c>
      <c r="W361" s="12">
        <f t="shared" si="153"/>
        <v>0</v>
      </c>
      <c r="X361" s="116"/>
      <c r="Y361" s="117">
        <f t="shared" si="129"/>
        <v>316500</v>
      </c>
      <c r="Z361" s="12">
        <f>+Y361</f>
        <v>316500</v>
      </c>
      <c r="AA361" s="12">
        <f t="shared" si="149"/>
        <v>0</v>
      </c>
      <c r="AB361" s="12"/>
      <c r="AC361" s="12">
        <f t="shared" si="150"/>
        <v>0</v>
      </c>
      <c r="AD361" s="42"/>
      <c r="AE361" s="12"/>
    </row>
    <row r="362" spans="1:31" s="46" customFormat="1" ht="21">
      <c r="A362" s="42" t="s">
        <v>0</v>
      </c>
      <c r="B362" s="42" t="s">
        <v>1</v>
      </c>
      <c r="C362" s="45" t="s">
        <v>1614</v>
      </c>
      <c r="D362" s="51" t="s">
        <v>1623</v>
      </c>
      <c r="E362" s="10" t="s">
        <v>909</v>
      </c>
      <c r="F362" s="47" t="s">
        <v>140</v>
      </c>
      <c r="G362" s="42"/>
      <c r="H362" s="42"/>
      <c r="I362" s="44">
        <v>19.2</v>
      </c>
      <c r="J362" s="44">
        <f t="shared" si="151"/>
        <v>19.2</v>
      </c>
      <c r="K362" s="42">
        <v>15000</v>
      </c>
      <c r="L362" s="42">
        <f>+K362*J362</f>
        <v>288000</v>
      </c>
      <c r="M362" s="42"/>
      <c r="N362" s="42"/>
      <c r="O362" s="100"/>
      <c r="P362" s="45"/>
      <c r="Q362" s="100"/>
      <c r="R362" s="100"/>
      <c r="S362" s="42"/>
      <c r="T362" s="12">
        <f t="shared" si="152"/>
        <v>0</v>
      </c>
      <c r="U362" s="45"/>
      <c r="V362" s="12">
        <f t="shared" si="154"/>
        <v>0</v>
      </c>
      <c r="W362" s="12">
        <f t="shared" si="153"/>
        <v>0</v>
      </c>
      <c r="X362" s="116"/>
      <c r="Y362" s="117">
        <f>+L362+W362</f>
        <v>288000</v>
      </c>
      <c r="Z362" s="12"/>
      <c r="AA362" s="12">
        <f t="shared" si="149"/>
        <v>288000</v>
      </c>
      <c r="AB362" s="12">
        <v>0.3</v>
      </c>
      <c r="AC362" s="12">
        <f>+AA362*AB362/100</f>
        <v>864</v>
      </c>
      <c r="AD362" s="42"/>
      <c r="AE362" s="12"/>
    </row>
    <row r="363" spans="1:31" s="46" customFormat="1" ht="21">
      <c r="A363" s="42" t="s">
        <v>0</v>
      </c>
      <c r="B363" s="42" t="s">
        <v>1</v>
      </c>
      <c r="C363" s="45" t="s">
        <v>1615</v>
      </c>
      <c r="D363" s="51" t="s">
        <v>1624</v>
      </c>
      <c r="E363" s="10" t="s">
        <v>909</v>
      </c>
      <c r="F363" s="47" t="s">
        <v>140</v>
      </c>
      <c r="G363" s="42"/>
      <c r="H363" s="42"/>
      <c r="I363" s="44">
        <v>19.2</v>
      </c>
      <c r="J363" s="44">
        <f t="shared" si="151"/>
        <v>19.2</v>
      </c>
      <c r="K363" s="42">
        <v>15000</v>
      </c>
      <c r="L363" s="42">
        <f>+K363*J363</f>
        <v>288000</v>
      </c>
      <c r="M363" s="42"/>
      <c r="N363" s="42"/>
      <c r="O363" s="100"/>
      <c r="P363" s="45"/>
      <c r="Q363" s="100"/>
      <c r="R363" s="100"/>
      <c r="S363" s="42"/>
      <c r="T363" s="12">
        <f t="shared" si="152"/>
        <v>0</v>
      </c>
      <c r="U363" s="45"/>
      <c r="V363" s="12">
        <f t="shared" si="154"/>
        <v>0</v>
      </c>
      <c r="W363" s="12">
        <f t="shared" si="153"/>
        <v>0</v>
      </c>
      <c r="X363" s="116"/>
      <c r="Y363" s="117">
        <f>+L363+W363</f>
        <v>288000</v>
      </c>
      <c r="Z363" s="12"/>
      <c r="AA363" s="12">
        <f t="shared" si="149"/>
        <v>288000</v>
      </c>
      <c r="AB363" s="12">
        <v>0.3</v>
      </c>
      <c r="AC363" s="12">
        <f>+AA363*AB363/100</f>
        <v>864</v>
      </c>
      <c r="AD363" s="42"/>
      <c r="AE363" s="12"/>
    </row>
    <row r="364" spans="1:31" s="46" customFormat="1" ht="21">
      <c r="A364" s="42" t="s">
        <v>0</v>
      </c>
      <c r="B364" s="42" t="s">
        <v>1</v>
      </c>
      <c r="C364" s="45" t="s">
        <v>1616</v>
      </c>
      <c r="D364" s="51" t="s">
        <v>1625</v>
      </c>
      <c r="E364" s="10" t="s">
        <v>909</v>
      </c>
      <c r="F364" s="47" t="s">
        <v>140</v>
      </c>
      <c r="G364" s="42"/>
      <c r="H364" s="42"/>
      <c r="I364" s="44">
        <v>19.2</v>
      </c>
      <c r="J364" s="44">
        <f t="shared" si="151"/>
        <v>19.2</v>
      </c>
      <c r="K364" s="42">
        <v>15000</v>
      </c>
      <c r="L364" s="42">
        <f>+K364*J364</f>
        <v>288000</v>
      </c>
      <c r="M364" s="42"/>
      <c r="N364" s="42"/>
      <c r="O364" s="42"/>
      <c r="P364" s="45"/>
      <c r="Q364" s="42"/>
      <c r="R364" s="100"/>
      <c r="S364" s="42"/>
      <c r="T364" s="12">
        <f t="shared" si="152"/>
        <v>0</v>
      </c>
      <c r="U364" s="45"/>
      <c r="V364" s="12">
        <f t="shared" si="154"/>
        <v>0</v>
      </c>
      <c r="W364" s="12">
        <f t="shared" si="153"/>
        <v>0</v>
      </c>
      <c r="X364" s="116"/>
      <c r="Y364" s="117">
        <f>+L364+W364</f>
        <v>288000</v>
      </c>
      <c r="Z364" s="12"/>
      <c r="AA364" s="12">
        <f t="shared" si="149"/>
        <v>288000</v>
      </c>
      <c r="AB364" s="12">
        <v>0.3</v>
      </c>
      <c r="AC364" s="12">
        <f>+AA364*AB364/100</f>
        <v>864</v>
      </c>
      <c r="AD364" s="42"/>
      <c r="AE364" s="12"/>
    </row>
    <row r="365" spans="1:31" s="46" customFormat="1" ht="21">
      <c r="A365" s="42" t="s">
        <v>0</v>
      </c>
      <c r="B365" s="42" t="s">
        <v>1</v>
      </c>
      <c r="C365" s="45" t="s">
        <v>1617</v>
      </c>
      <c r="D365" s="51" t="s">
        <v>1626</v>
      </c>
      <c r="E365" s="10" t="s">
        <v>909</v>
      </c>
      <c r="F365" s="47" t="s">
        <v>140</v>
      </c>
      <c r="G365" s="42"/>
      <c r="H365" s="42"/>
      <c r="I365" s="44">
        <v>19.2</v>
      </c>
      <c r="J365" s="44">
        <f t="shared" si="151"/>
        <v>19.2</v>
      </c>
      <c r="K365" s="42">
        <v>15000</v>
      </c>
      <c r="L365" s="42">
        <f>+K365*J365</f>
        <v>288000</v>
      </c>
      <c r="M365" s="42"/>
      <c r="N365" s="42"/>
      <c r="O365" s="42"/>
      <c r="P365" s="45"/>
      <c r="Q365" s="42"/>
      <c r="R365" s="100"/>
      <c r="S365" s="42"/>
      <c r="T365" s="12">
        <f t="shared" si="152"/>
        <v>0</v>
      </c>
      <c r="U365" s="45"/>
      <c r="V365" s="12">
        <f t="shared" si="154"/>
        <v>0</v>
      </c>
      <c r="W365" s="12">
        <f t="shared" si="153"/>
        <v>0</v>
      </c>
      <c r="X365" s="116"/>
      <c r="Y365" s="117">
        <f>+L365+W365</f>
        <v>288000</v>
      </c>
      <c r="Z365" s="12"/>
      <c r="AA365" s="12">
        <f t="shared" si="149"/>
        <v>288000</v>
      </c>
      <c r="AB365" s="12">
        <v>0.3</v>
      </c>
      <c r="AC365" s="12">
        <f>+AA365*AB365/100</f>
        <v>864</v>
      </c>
      <c r="AD365" s="42"/>
      <c r="AE365" s="12"/>
    </row>
    <row r="366" spans="1:31" s="46" customFormat="1" ht="21">
      <c r="A366" s="42" t="s">
        <v>0</v>
      </c>
      <c r="B366" s="42" t="s">
        <v>1</v>
      </c>
      <c r="C366" s="45" t="s">
        <v>1618</v>
      </c>
      <c r="D366" s="51" t="s">
        <v>1627</v>
      </c>
      <c r="E366" s="29" t="s">
        <v>907</v>
      </c>
      <c r="F366" s="47" t="s">
        <v>143</v>
      </c>
      <c r="G366" s="42"/>
      <c r="H366" s="42"/>
      <c r="I366" s="44">
        <v>20.9</v>
      </c>
      <c r="J366" s="44">
        <f t="shared" si="151"/>
        <v>20.9</v>
      </c>
      <c r="K366" s="42">
        <v>30000</v>
      </c>
      <c r="L366" s="42">
        <f t="shared" si="29"/>
        <v>627000</v>
      </c>
      <c r="M366" s="42"/>
      <c r="N366" s="42" t="s">
        <v>60</v>
      </c>
      <c r="O366" s="104" t="s">
        <v>446</v>
      </c>
      <c r="P366" s="45" t="s">
        <v>143</v>
      </c>
      <c r="Q366" s="104">
        <v>80</v>
      </c>
      <c r="R366" s="100"/>
      <c r="S366" s="42">
        <v>7550</v>
      </c>
      <c r="T366" s="12">
        <f t="shared" si="152"/>
        <v>604000</v>
      </c>
      <c r="U366" s="102" t="s">
        <v>83</v>
      </c>
      <c r="V366" s="12">
        <f>+T366*0.18</f>
        <v>108720</v>
      </c>
      <c r="W366" s="12">
        <f t="shared" si="153"/>
        <v>495280</v>
      </c>
      <c r="X366" s="116"/>
      <c r="Y366" s="117">
        <f t="shared" si="129"/>
        <v>1122280</v>
      </c>
      <c r="Z366" s="12"/>
      <c r="AA366" s="12">
        <f t="shared" si="149"/>
        <v>1122280</v>
      </c>
      <c r="AB366" s="12">
        <v>0.3</v>
      </c>
      <c r="AC366" s="12">
        <f t="shared" si="150"/>
        <v>3366.84</v>
      </c>
      <c r="AD366" s="42"/>
      <c r="AE366" s="12"/>
    </row>
    <row r="367" spans="1:31" s="46" customFormat="1" ht="21">
      <c r="A367" s="42"/>
      <c r="B367" s="42"/>
      <c r="C367" s="45"/>
      <c r="D367" s="45"/>
      <c r="E367" s="45"/>
      <c r="F367" s="47"/>
      <c r="G367" s="42"/>
      <c r="H367" s="42"/>
      <c r="I367" s="44"/>
      <c r="J367" s="44">
        <f t="shared" si="151"/>
        <v>0</v>
      </c>
      <c r="K367" s="42"/>
      <c r="L367" s="42">
        <f>+K367*J367</f>
        <v>0</v>
      </c>
      <c r="M367" s="42"/>
      <c r="N367" s="42"/>
      <c r="O367" s="42"/>
      <c r="P367" s="31"/>
      <c r="Q367" s="42"/>
      <c r="R367" s="42"/>
      <c r="S367" s="42"/>
      <c r="T367" s="12">
        <f t="shared" si="152"/>
        <v>0</v>
      </c>
      <c r="U367" s="45"/>
      <c r="V367" s="12">
        <f t="shared" si="154"/>
        <v>0</v>
      </c>
      <c r="W367" s="12">
        <f t="shared" si="153"/>
        <v>0</v>
      </c>
      <c r="X367" s="116"/>
      <c r="Y367" s="117">
        <f t="shared" si="129"/>
        <v>0</v>
      </c>
      <c r="Z367" s="12"/>
      <c r="AA367" s="12">
        <f t="shared" si="149"/>
        <v>0</v>
      </c>
      <c r="AB367" s="12"/>
      <c r="AC367" s="12">
        <f t="shared" si="150"/>
        <v>0</v>
      </c>
      <c r="AD367" s="42"/>
      <c r="AE367" s="12"/>
    </row>
    <row r="368" spans="1:31" s="46" customFormat="1" ht="21">
      <c r="A368" s="42" t="s">
        <v>0</v>
      </c>
      <c r="B368" s="42" t="s">
        <v>1</v>
      </c>
      <c r="C368" s="45" t="s">
        <v>1048</v>
      </c>
      <c r="D368" s="45" t="s">
        <v>1628</v>
      </c>
      <c r="E368" s="45" t="s">
        <v>909</v>
      </c>
      <c r="F368" s="47" t="s">
        <v>140</v>
      </c>
      <c r="G368" s="42"/>
      <c r="H368" s="42"/>
      <c r="I368" s="44">
        <v>50</v>
      </c>
      <c r="J368" s="44">
        <f aca="true" t="shared" si="155" ref="J368:J399">+I368+(H368*100)+(G368*400)</f>
        <v>50</v>
      </c>
      <c r="K368" s="42">
        <v>12000</v>
      </c>
      <c r="L368" s="42">
        <f aca="true" t="shared" si="156" ref="L368:L409">+K368*J368</f>
        <v>600000</v>
      </c>
      <c r="M368" s="42"/>
      <c r="N368" s="42"/>
      <c r="O368" s="100"/>
      <c r="P368" s="45"/>
      <c r="Q368" s="100"/>
      <c r="R368" s="100"/>
      <c r="S368" s="42"/>
      <c r="T368" s="12">
        <f aca="true" t="shared" si="157" ref="T368:T399">+Q368*S368</f>
        <v>0</v>
      </c>
      <c r="U368" s="45"/>
      <c r="V368" s="12">
        <f aca="true" t="shared" si="158" ref="V368:V373">+T368*0</f>
        <v>0</v>
      </c>
      <c r="W368" s="12">
        <f aca="true" t="shared" si="159" ref="W368:W399">+T368-V368</f>
        <v>0</v>
      </c>
      <c r="X368" s="116"/>
      <c r="Y368" s="117">
        <f t="shared" si="129"/>
        <v>600000</v>
      </c>
      <c r="Z368" s="12"/>
      <c r="AA368" s="12">
        <f aca="true" t="shared" si="160" ref="AA368:AA408">+Y368-Z368</f>
        <v>600000</v>
      </c>
      <c r="AB368" s="12">
        <v>0.3</v>
      </c>
      <c r="AC368" s="12">
        <f aca="true" t="shared" si="161" ref="AC368:AC408">+AA368*AB368/100</f>
        <v>1800</v>
      </c>
      <c r="AD368" s="42"/>
      <c r="AE368" s="12"/>
    </row>
    <row r="369" spans="1:31" s="46" customFormat="1" ht="21">
      <c r="A369" s="42"/>
      <c r="B369" s="42"/>
      <c r="C369" s="45"/>
      <c r="D369" s="45"/>
      <c r="E369" s="45"/>
      <c r="F369" s="47"/>
      <c r="G369" s="42"/>
      <c r="H369" s="42"/>
      <c r="I369" s="44"/>
      <c r="J369" s="44">
        <f t="shared" si="155"/>
        <v>0</v>
      </c>
      <c r="K369" s="42"/>
      <c r="L369" s="42">
        <f t="shared" si="156"/>
        <v>0</v>
      </c>
      <c r="M369" s="42"/>
      <c r="N369" s="42"/>
      <c r="O369" s="42"/>
      <c r="P369" s="31"/>
      <c r="Q369" s="42"/>
      <c r="R369" s="42"/>
      <c r="S369" s="42"/>
      <c r="T369" s="12">
        <f t="shared" si="157"/>
        <v>0</v>
      </c>
      <c r="U369" s="45"/>
      <c r="V369" s="12">
        <f t="shared" si="158"/>
        <v>0</v>
      </c>
      <c r="W369" s="12">
        <f t="shared" si="159"/>
        <v>0</v>
      </c>
      <c r="X369" s="116"/>
      <c r="Y369" s="117">
        <f t="shared" si="129"/>
        <v>0</v>
      </c>
      <c r="Z369" s="12"/>
      <c r="AA369" s="12">
        <f t="shared" si="160"/>
        <v>0</v>
      </c>
      <c r="AB369" s="12"/>
      <c r="AC369" s="12">
        <f t="shared" si="161"/>
        <v>0</v>
      </c>
      <c r="AD369" s="42"/>
      <c r="AE369" s="12"/>
    </row>
    <row r="370" spans="1:31" s="46" customFormat="1" ht="21">
      <c r="A370" s="42"/>
      <c r="B370" s="42"/>
      <c r="C370" s="45"/>
      <c r="D370" s="45"/>
      <c r="E370" s="45"/>
      <c r="F370" s="47"/>
      <c r="G370" s="42"/>
      <c r="H370" s="42"/>
      <c r="I370" s="44"/>
      <c r="J370" s="44">
        <f t="shared" si="155"/>
        <v>0</v>
      </c>
      <c r="K370" s="42"/>
      <c r="L370" s="42">
        <f t="shared" si="156"/>
        <v>0</v>
      </c>
      <c r="M370" s="42"/>
      <c r="N370" s="42"/>
      <c r="O370" s="42"/>
      <c r="P370" s="31"/>
      <c r="Q370" s="42"/>
      <c r="R370" s="42"/>
      <c r="S370" s="42"/>
      <c r="T370" s="12">
        <f t="shared" si="157"/>
        <v>0</v>
      </c>
      <c r="U370" s="45"/>
      <c r="V370" s="12">
        <f t="shared" si="158"/>
        <v>0</v>
      </c>
      <c r="W370" s="12">
        <f t="shared" si="159"/>
        <v>0</v>
      </c>
      <c r="X370" s="116"/>
      <c r="Y370" s="117">
        <f aca="true" t="shared" si="162" ref="Y370:Y410">+L370+W370</f>
        <v>0</v>
      </c>
      <c r="Z370" s="12"/>
      <c r="AA370" s="12">
        <f t="shared" si="160"/>
        <v>0</v>
      </c>
      <c r="AB370" s="12"/>
      <c r="AC370" s="12">
        <f t="shared" si="161"/>
        <v>0</v>
      </c>
      <c r="AD370" s="42"/>
      <c r="AE370" s="12"/>
    </row>
    <row r="371" spans="1:31" s="46" customFormat="1" ht="21">
      <c r="A371" s="42" t="s">
        <v>0</v>
      </c>
      <c r="B371" s="42" t="s">
        <v>1</v>
      </c>
      <c r="C371" s="45" t="s">
        <v>1629</v>
      </c>
      <c r="D371" s="45" t="s">
        <v>1630</v>
      </c>
      <c r="E371" s="29" t="s">
        <v>907</v>
      </c>
      <c r="F371" s="47" t="s">
        <v>140</v>
      </c>
      <c r="G371" s="42"/>
      <c r="H371" s="42"/>
      <c r="I371" s="44">
        <v>55.8</v>
      </c>
      <c r="J371" s="44">
        <f t="shared" si="155"/>
        <v>55.8</v>
      </c>
      <c r="K371" s="42">
        <v>15000</v>
      </c>
      <c r="L371" s="42">
        <f t="shared" si="156"/>
        <v>837000</v>
      </c>
      <c r="M371" s="42"/>
      <c r="N371" s="42"/>
      <c r="O371" s="100"/>
      <c r="P371" s="45"/>
      <c r="Q371" s="100"/>
      <c r="R371" s="100"/>
      <c r="S371" s="42"/>
      <c r="T371" s="12">
        <f t="shared" si="157"/>
        <v>0</v>
      </c>
      <c r="U371" s="45"/>
      <c r="V371" s="12">
        <f t="shared" si="158"/>
        <v>0</v>
      </c>
      <c r="W371" s="12">
        <f t="shared" si="159"/>
        <v>0</v>
      </c>
      <c r="X371" s="116"/>
      <c r="Y371" s="117">
        <f t="shared" si="162"/>
        <v>837000</v>
      </c>
      <c r="Z371" s="12"/>
      <c r="AA371" s="12">
        <f t="shared" si="160"/>
        <v>837000</v>
      </c>
      <c r="AB371" s="12">
        <v>0.3</v>
      </c>
      <c r="AC371" s="12">
        <f t="shared" si="161"/>
        <v>2511</v>
      </c>
      <c r="AD371" s="42"/>
      <c r="AE371" s="12"/>
    </row>
    <row r="372" spans="1:31" s="46" customFormat="1" ht="21">
      <c r="A372" s="42"/>
      <c r="B372" s="42"/>
      <c r="C372" s="45"/>
      <c r="D372" s="45"/>
      <c r="E372" s="45"/>
      <c r="F372" s="47"/>
      <c r="G372" s="42"/>
      <c r="H372" s="42"/>
      <c r="I372" s="44"/>
      <c r="J372" s="44">
        <f t="shared" si="155"/>
        <v>0</v>
      </c>
      <c r="K372" s="42"/>
      <c r="L372" s="42">
        <f t="shared" si="156"/>
        <v>0</v>
      </c>
      <c r="M372" s="42"/>
      <c r="N372" s="42"/>
      <c r="O372" s="100"/>
      <c r="P372" s="31"/>
      <c r="Q372" s="100"/>
      <c r="R372" s="100"/>
      <c r="S372" s="42"/>
      <c r="T372" s="12">
        <f t="shared" si="157"/>
        <v>0</v>
      </c>
      <c r="U372" s="45"/>
      <c r="V372" s="12">
        <f t="shared" si="158"/>
        <v>0</v>
      </c>
      <c r="W372" s="12">
        <f t="shared" si="159"/>
        <v>0</v>
      </c>
      <c r="X372" s="116"/>
      <c r="Y372" s="117">
        <f t="shared" si="162"/>
        <v>0</v>
      </c>
      <c r="Z372" s="12"/>
      <c r="AA372" s="12">
        <f t="shared" si="160"/>
        <v>0</v>
      </c>
      <c r="AB372" s="12"/>
      <c r="AC372" s="12">
        <f t="shared" si="161"/>
        <v>0</v>
      </c>
      <c r="AD372" s="42"/>
      <c r="AE372" s="12"/>
    </row>
    <row r="373" spans="1:31" s="46" customFormat="1" ht="21">
      <c r="A373" s="42"/>
      <c r="B373" s="42"/>
      <c r="C373" s="45"/>
      <c r="D373" s="45"/>
      <c r="E373" s="45"/>
      <c r="F373" s="47"/>
      <c r="G373" s="42"/>
      <c r="H373" s="42"/>
      <c r="I373" s="44"/>
      <c r="J373" s="44">
        <f t="shared" si="155"/>
        <v>0</v>
      </c>
      <c r="K373" s="42"/>
      <c r="L373" s="42">
        <f t="shared" si="156"/>
        <v>0</v>
      </c>
      <c r="M373" s="42"/>
      <c r="N373" s="42"/>
      <c r="O373" s="42"/>
      <c r="P373" s="31"/>
      <c r="Q373" s="42"/>
      <c r="R373" s="42"/>
      <c r="S373" s="42"/>
      <c r="T373" s="12">
        <f t="shared" si="157"/>
        <v>0</v>
      </c>
      <c r="U373" s="45"/>
      <c r="V373" s="12">
        <f t="shared" si="158"/>
        <v>0</v>
      </c>
      <c r="W373" s="12">
        <f t="shared" si="159"/>
        <v>0</v>
      </c>
      <c r="X373" s="116"/>
      <c r="Y373" s="117">
        <f t="shared" si="162"/>
        <v>0</v>
      </c>
      <c r="Z373" s="12"/>
      <c r="AA373" s="12">
        <f t="shared" si="160"/>
        <v>0</v>
      </c>
      <c r="AB373" s="12"/>
      <c r="AC373" s="12">
        <f t="shared" si="161"/>
        <v>0</v>
      </c>
      <c r="AD373" s="42"/>
      <c r="AE373" s="12"/>
    </row>
    <row r="374" spans="1:31" s="46" customFormat="1" ht="21">
      <c r="A374" s="42" t="s">
        <v>0</v>
      </c>
      <c r="B374" s="42" t="s">
        <v>1</v>
      </c>
      <c r="C374" s="45" t="s">
        <v>1631</v>
      </c>
      <c r="D374" s="45" t="s">
        <v>1632</v>
      </c>
      <c r="E374" s="29" t="s">
        <v>907</v>
      </c>
      <c r="F374" s="47" t="s">
        <v>143</v>
      </c>
      <c r="G374" s="42"/>
      <c r="H374" s="42"/>
      <c r="I374" s="44">
        <v>23.4</v>
      </c>
      <c r="J374" s="44">
        <f t="shared" si="155"/>
        <v>23.4</v>
      </c>
      <c r="K374" s="42">
        <v>15000</v>
      </c>
      <c r="L374" s="42">
        <f t="shared" si="156"/>
        <v>351000</v>
      </c>
      <c r="M374" s="42"/>
      <c r="N374" s="42" t="s">
        <v>60</v>
      </c>
      <c r="O374" s="104" t="s">
        <v>446</v>
      </c>
      <c r="P374" s="45" t="s">
        <v>143</v>
      </c>
      <c r="Q374" s="104">
        <v>80</v>
      </c>
      <c r="R374" s="100"/>
      <c r="S374" s="42">
        <v>7550</v>
      </c>
      <c r="T374" s="12">
        <f t="shared" si="157"/>
        <v>604000</v>
      </c>
      <c r="U374" s="45" t="s">
        <v>144</v>
      </c>
      <c r="V374" s="12">
        <f>+T374*0.07</f>
        <v>42280.00000000001</v>
      </c>
      <c r="W374" s="12">
        <f t="shared" si="159"/>
        <v>561720</v>
      </c>
      <c r="X374" s="116"/>
      <c r="Y374" s="117">
        <f t="shared" si="162"/>
        <v>912720</v>
      </c>
      <c r="Z374" s="12"/>
      <c r="AA374" s="12">
        <f t="shared" si="160"/>
        <v>912720</v>
      </c>
      <c r="AB374" s="12">
        <v>0.3</v>
      </c>
      <c r="AC374" s="12">
        <f t="shared" si="161"/>
        <v>2738.16</v>
      </c>
      <c r="AD374" s="42"/>
      <c r="AE374" s="12"/>
    </row>
    <row r="375" spans="1:31" s="46" customFormat="1" ht="21">
      <c r="A375" s="42"/>
      <c r="B375" s="42"/>
      <c r="C375" s="45"/>
      <c r="D375" s="45"/>
      <c r="E375" s="45"/>
      <c r="F375" s="47"/>
      <c r="G375" s="42"/>
      <c r="H375" s="42"/>
      <c r="I375" s="44"/>
      <c r="J375" s="44">
        <f t="shared" si="155"/>
        <v>0</v>
      </c>
      <c r="K375" s="42"/>
      <c r="L375" s="42">
        <f t="shared" si="156"/>
        <v>0</v>
      </c>
      <c r="M375" s="42"/>
      <c r="N375" s="42"/>
      <c r="O375" s="100"/>
      <c r="P375" s="31"/>
      <c r="Q375" s="100"/>
      <c r="R375" s="100"/>
      <c r="S375" s="42"/>
      <c r="T375" s="12">
        <f t="shared" si="157"/>
        <v>0</v>
      </c>
      <c r="U375" s="45"/>
      <c r="V375" s="12">
        <f>+T375*0</f>
        <v>0</v>
      </c>
      <c r="W375" s="12">
        <f t="shared" si="159"/>
        <v>0</v>
      </c>
      <c r="X375" s="116"/>
      <c r="Y375" s="117">
        <f t="shared" si="162"/>
        <v>0</v>
      </c>
      <c r="Z375" s="12"/>
      <c r="AA375" s="12">
        <f t="shared" si="160"/>
        <v>0</v>
      </c>
      <c r="AB375" s="12"/>
      <c r="AC375" s="12">
        <f t="shared" si="161"/>
        <v>0</v>
      </c>
      <c r="AD375" s="42"/>
      <c r="AE375" s="12"/>
    </row>
    <row r="376" spans="1:31" s="46" customFormat="1" ht="21">
      <c r="A376" s="42"/>
      <c r="B376" s="42"/>
      <c r="C376" s="45"/>
      <c r="D376" s="45"/>
      <c r="E376" s="45"/>
      <c r="F376" s="47"/>
      <c r="G376" s="42"/>
      <c r="H376" s="42"/>
      <c r="I376" s="44"/>
      <c r="J376" s="44">
        <f t="shared" si="155"/>
        <v>0</v>
      </c>
      <c r="K376" s="42"/>
      <c r="L376" s="42">
        <f t="shared" si="156"/>
        <v>0</v>
      </c>
      <c r="M376" s="42"/>
      <c r="N376" s="42"/>
      <c r="O376" s="42"/>
      <c r="P376" s="31"/>
      <c r="Q376" s="42"/>
      <c r="R376" s="42"/>
      <c r="S376" s="42"/>
      <c r="T376" s="12">
        <f t="shared" si="157"/>
        <v>0</v>
      </c>
      <c r="U376" s="45"/>
      <c r="V376" s="12">
        <f>+T376*0</f>
        <v>0</v>
      </c>
      <c r="W376" s="12">
        <f t="shared" si="159"/>
        <v>0</v>
      </c>
      <c r="X376" s="116"/>
      <c r="Y376" s="117">
        <f t="shared" si="162"/>
        <v>0</v>
      </c>
      <c r="Z376" s="12"/>
      <c r="AA376" s="12">
        <f t="shared" si="160"/>
        <v>0</v>
      </c>
      <c r="AB376" s="12"/>
      <c r="AC376" s="12">
        <f t="shared" si="161"/>
        <v>0</v>
      </c>
      <c r="AD376" s="42"/>
      <c r="AE376" s="12"/>
    </row>
    <row r="377" spans="1:31" s="46" customFormat="1" ht="21">
      <c r="A377" s="42" t="s">
        <v>0</v>
      </c>
      <c r="B377" s="42" t="s">
        <v>1</v>
      </c>
      <c r="C377" s="45" t="s">
        <v>1633</v>
      </c>
      <c r="D377" s="45" t="s">
        <v>1638</v>
      </c>
      <c r="E377" s="29" t="s">
        <v>907</v>
      </c>
      <c r="F377" s="47" t="s">
        <v>137</v>
      </c>
      <c r="G377" s="42"/>
      <c r="H377" s="42"/>
      <c r="I377" s="44">
        <v>29.1</v>
      </c>
      <c r="J377" s="44">
        <f t="shared" si="155"/>
        <v>29.1</v>
      </c>
      <c r="K377" s="42">
        <v>35000</v>
      </c>
      <c r="L377" s="42">
        <f t="shared" si="156"/>
        <v>1018500</v>
      </c>
      <c r="M377" s="42"/>
      <c r="N377" s="42" t="s">
        <v>60</v>
      </c>
      <c r="O377" s="104" t="s">
        <v>446</v>
      </c>
      <c r="P377" s="45">
        <v>2</v>
      </c>
      <c r="Q377" s="104">
        <v>128</v>
      </c>
      <c r="R377" s="100"/>
      <c r="S377" s="42">
        <v>7550</v>
      </c>
      <c r="T377" s="12">
        <f t="shared" si="157"/>
        <v>966400</v>
      </c>
      <c r="U377" s="102" t="s">
        <v>74</v>
      </c>
      <c r="V377" s="12">
        <f>+T377*0.36</f>
        <v>347904</v>
      </c>
      <c r="W377" s="12">
        <f t="shared" si="159"/>
        <v>618496</v>
      </c>
      <c r="X377" s="116"/>
      <c r="Y377" s="117">
        <f t="shared" si="162"/>
        <v>1636996</v>
      </c>
      <c r="Z377" s="12"/>
      <c r="AA377" s="12">
        <f t="shared" si="160"/>
        <v>1636996</v>
      </c>
      <c r="AB377" s="12">
        <v>0.02</v>
      </c>
      <c r="AC377" s="12">
        <f t="shared" si="161"/>
        <v>327.3992</v>
      </c>
      <c r="AD377" s="42"/>
      <c r="AE377" s="12"/>
    </row>
    <row r="378" spans="1:31" s="46" customFormat="1" ht="21">
      <c r="A378" s="42" t="s">
        <v>0</v>
      </c>
      <c r="B378" s="42" t="s">
        <v>1</v>
      </c>
      <c r="C378" s="45" t="s">
        <v>1634</v>
      </c>
      <c r="D378" s="45" t="s">
        <v>1639</v>
      </c>
      <c r="E378" s="10" t="s">
        <v>909</v>
      </c>
      <c r="F378" s="47" t="s">
        <v>140</v>
      </c>
      <c r="G378" s="42"/>
      <c r="H378" s="42"/>
      <c r="I378" s="44">
        <v>45.2</v>
      </c>
      <c r="J378" s="44">
        <f t="shared" si="155"/>
        <v>45.2</v>
      </c>
      <c r="K378" s="42">
        <v>15000</v>
      </c>
      <c r="L378" s="42">
        <f t="shared" si="156"/>
        <v>678000</v>
      </c>
      <c r="M378" s="42"/>
      <c r="N378" s="42"/>
      <c r="O378" s="100"/>
      <c r="P378" s="45"/>
      <c r="Q378" s="100"/>
      <c r="R378" s="100"/>
      <c r="S378" s="42"/>
      <c r="T378" s="12">
        <f t="shared" si="157"/>
        <v>0</v>
      </c>
      <c r="U378" s="45"/>
      <c r="V378" s="12">
        <f>+T378*0</f>
        <v>0</v>
      </c>
      <c r="W378" s="12">
        <f t="shared" si="159"/>
        <v>0</v>
      </c>
      <c r="X378" s="116"/>
      <c r="Y378" s="117">
        <f t="shared" si="162"/>
        <v>678000</v>
      </c>
      <c r="Z378" s="12"/>
      <c r="AA378" s="12">
        <f t="shared" si="160"/>
        <v>678000</v>
      </c>
      <c r="AB378" s="12">
        <v>0.3</v>
      </c>
      <c r="AC378" s="12">
        <f t="shared" si="161"/>
        <v>2034</v>
      </c>
      <c r="AD378" s="42"/>
      <c r="AE378" s="12"/>
    </row>
    <row r="379" spans="1:31" s="46" customFormat="1" ht="21">
      <c r="A379" s="42" t="s">
        <v>0</v>
      </c>
      <c r="B379" s="42" t="s">
        <v>1</v>
      </c>
      <c r="C379" s="45" t="s">
        <v>1635</v>
      </c>
      <c r="D379" s="45" t="s">
        <v>1640</v>
      </c>
      <c r="E379" s="10" t="s">
        <v>909</v>
      </c>
      <c r="F379" s="47" t="s">
        <v>140</v>
      </c>
      <c r="G379" s="42"/>
      <c r="H379" s="42"/>
      <c r="I379" s="44">
        <v>46.5</v>
      </c>
      <c r="J379" s="44">
        <f t="shared" si="155"/>
        <v>46.5</v>
      </c>
      <c r="K379" s="42">
        <v>15000</v>
      </c>
      <c r="L379" s="42">
        <f t="shared" si="156"/>
        <v>697500</v>
      </c>
      <c r="M379" s="42"/>
      <c r="N379" s="42"/>
      <c r="O379" s="42"/>
      <c r="P379" s="45"/>
      <c r="Q379" s="42"/>
      <c r="R379" s="100"/>
      <c r="S379" s="42"/>
      <c r="T379" s="12">
        <f t="shared" si="157"/>
        <v>0</v>
      </c>
      <c r="U379" s="45"/>
      <c r="V379" s="12">
        <f>+T379*0</f>
        <v>0</v>
      </c>
      <c r="W379" s="12">
        <f t="shared" si="159"/>
        <v>0</v>
      </c>
      <c r="X379" s="116"/>
      <c r="Y379" s="117">
        <f t="shared" si="162"/>
        <v>697500</v>
      </c>
      <c r="Z379" s="12"/>
      <c r="AA379" s="12">
        <f t="shared" si="160"/>
        <v>697500</v>
      </c>
      <c r="AB379" s="12">
        <v>0.3</v>
      </c>
      <c r="AC379" s="12">
        <f t="shared" si="161"/>
        <v>2092.5</v>
      </c>
      <c r="AD379" s="42"/>
      <c r="AE379" s="12"/>
    </row>
    <row r="380" spans="1:31" s="46" customFormat="1" ht="21">
      <c r="A380" s="42" t="s">
        <v>0</v>
      </c>
      <c r="B380" s="42" t="s">
        <v>1</v>
      </c>
      <c r="C380" s="45" t="s">
        <v>1636</v>
      </c>
      <c r="D380" s="45" t="s">
        <v>1641</v>
      </c>
      <c r="E380" s="10" t="s">
        <v>909</v>
      </c>
      <c r="F380" s="47" t="s">
        <v>137</v>
      </c>
      <c r="G380" s="42"/>
      <c r="H380" s="42"/>
      <c r="I380" s="44">
        <v>20.1</v>
      </c>
      <c r="J380" s="44">
        <f t="shared" si="155"/>
        <v>20.1</v>
      </c>
      <c r="K380" s="42">
        <v>15000</v>
      </c>
      <c r="L380" s="42">
        <f t="shared" si="156"/>
        <v>301500</v>
      </c>
      <c r="M380" s="42"/>
      <c r="N380" s="42" t="s">
        <v>62</v>
      </c>
      <c r="O380" s="104" t="s">
        <v>446</v>
      </c>
      <c r="P380" s="45">
        <v>2</v>
      </c>
      <c r="Q380" s="104">
        <v>99</v>
      </c>
      <c r="R380" s="104"/>
      <c r="S380" s="42">
        <v>6750</v>
      </c>
      <c r="T380" s="12">
        <f t="shared" si="157"/>
        <v>668250</v>
      </c>
      <c r="U380" s="45" t="s">
        <v>264</v>
      </c>
      <c r="V380" s="12">
        <f>+T380*0.09</f>
        <v>60142.5</v>
      </c>
      <c r="W380" s="12">
        <f t="shared" si="159"/>
        <v>608107.5</v>
      </c>
      <c r="X380" s="116"/>
      <c r="Y380" s="117">
        <f t="shared" si="162"/>
        <v>909607.5</v>
      </c>
      <c r="Z380" s="12"/>
      <c r="AA380" s="12">
        <f t="shared" si="160"/>
        <v>909607.5</v>
      </c>
      <c r="AB380" s="12">
        <v>0.02</v>
      </c>
      <c r="AC380" s="12">
        <f t="shared" si="161"/>
        <v>181.9215</v>
      </c>
      <c r="AD380" s="42"/>
      <c r="AE380" s="12"/>
    </row>
    <row r="381" spans="1:31" s="46" customFormat="1" ht="21">
      <c r="A381" s="42" t="s">
        <v>0</v>
      </c>
      <c r="B381" s="42" t="s">
        <v>1</v>
      </c>
      <c r="C381" s="45" t="s">
        <v>1637</v>
      </c>
      <c r="D381" s="45" t="s">
        <v>1642</v>
      </c>
      <c r="E381" s="10" t="s">
        <v>909</v>
      </c>
      <c r="F381" s="47" t="s">
        <v>137</v>
      </c>
      <c r="G381" s="42"/>
      <c r="H381" s="42"/>
      <c r="I381" s="44">
        <v>93.1</v>
      </c>
      <c r="J381" s="44">
        <f t="shared" si="155"/>
        <v>93.1</v>
      </c>
      <c r="K381" s="42">
        <v>24500</v>
      </c>
      <c r="L381" s="42">
        <f t="shared" si="156"/>
        <v>2280950</v>
      </c>
      <c r="M381" s="42"/>
      <c r="N381" s="42" t="s">
        <v>64</v>
      </c>
      <c r="O381" s="104" t="s">
        <v>446</v>
      </c>
      <c r="P381" s="45">
        <v>2</v>
      </c>
      <c r="Q381" s="104">
        <v>70</v>
      </c>
      <c r="R381" s="100"/>
      <c r="S381" s="42">
        <v>6550</v>
      </c>
      <c r="T381" s="12">
        <f t="shared" si="157"/>
        <v>458500</v>
      </c>
      <c r="U381" s="45" t="s">
        <v>314</v>
      </c>
      <c r="V381" s="12">
        <f>+T381*0.1</f>
        <v>45850</v>
      </c>
      <c r="W381" s="12">
        <f t="shared" si="159"/>
        <v>412650</v>
      </c>
      <c r="X381" s="116"/>
      <c r="Y381" s="117">
        <f t="shared" si="162"/>
        <v>2693600</v>
      </c>
      <c r="Z381" s="12"/>
      <c r="AA381" s="12">
        <f t="shared" si="160"/>
        <v>2693600</v>
      </c>
      <c r="AB381" s="12">
        <v>0.02</v>
      </c>
      <c r="AC381" s="12">
        <f t="shared" si="161"/>
        <v>538.72</v>
      </c>
      <c r="AD381" s="42"/>
      <c r="AE381" s="12"/>
    </row>
    <row r="382" spans="1:31" s="46" customFormat="1" ht="21">
      <c r="A382" s="42" t="s">
        <v>0</v>
      </c>
      <c r="B382" s="42" t="s">
        <v>1</v>
      </c>
      <c r="C382" s="45" t="s">
        <v>555</v>
      </c>
      <c r="D382" s="45" t="s">
        <v>1643</v>
      </c>
      <c r="E382" s="30" t="s">
        <v>908</v>
      </c>
      <c r="F382" s="47" t="s">
        <v>140</v>
      </c>
      <c r="G382" s="42"/>
      <c r="H382" s="42"/>
      <c r="I382" s="44">
        <v>15.7</v>
      </c>
      <c r="J382" s="44">
        <f t="shared" si="155"/>
        <v>15.7</v>
      </c>
      <c r="K382" s="42">
        <v>100000</v>
      </c>
      <c r="L382" s="42">
        <f t="shared" si="156"/>
        <v>1570000</v>
      </c>
      <c r="M382" s="42"/>
      <c r="N382" s="42"/>
      <c r="O382" s="100"/>
      <c r="P382" s="45"/>
      <c r="Q382" s="100"/>
      <c r="R382" s="100"/>
      <c r="S382" s="42"/>
      <c r="T382" s="12">
        <f t="shared" si="157"/>
        <v>0</v>
      </c>
      <c r="U382" s="45"/>
      <c r="V382" s="12">
        <f>+T382*0</f>
        <v>0</v>
      </c>
      <c r="W382" s="12">
        <f t="shared" si="159"/>
        <v>0</v>
      </c>
      <c r="X382" s="116"/>
      <c r="Y382" s="117">
        <f t="shared" si="162"/>
        <v>1570000</v>
      </c>
      <c r="Z382" s="12"/>
      <c r="AA382" s="12">
        <f t="shared" si="160"/>
        <v>1570000</v>
      </c>
      <c r="AB382" s="12">
        <v>0.3</v>
      </c>
      <c r="AC382" s="12">
        <f t="shared" si="161"/>
        <v>4710</v>
      </c>
      <c r="AD382" s="42"/>
      <c r="AE382" s="12"/>
    </row>
    <row r="383" spans="1:31" s="46" customFormat="1" ht="21">
      <c r="A383" s="42"/>
      <c r="B383" s="42"/>
      <c r="C383" s="45"/>
      <c r="D383" s="45"/>
      <c r="E383" s="45"/>
      <c r="F383" s="47"/>
      <c r="G383" s="42"/>
      <c r="H383" s="42"/>
      <c r="I383" s="44"/>
      <c r="J383" s="44">
        <f t="shared" si="155"/>
        <v>0</v>
      </c>
      <c r="K383" s="42"/>
      <c r="L383" s="42">
        <f t="shared" si="156"/>
        <v>0</v>
      </c>
      <c r="M383" s="42"/>
      <c r="N383" s="42"/>
      <c r="O383" s="100"/>
      <c r="P383" s="31"/>
      <c r="Q383" s="100"/>
      <c r="R383" s="100"/>
      <c r="S383" s="42"/>
      <c r="T383" s="12">
        <f t="shared" si="157"/>
        <v>0</v>
      </c>
      <c r="U383" s="45"/>
      <c r="V383" s="12">
        <f>+T383*0</f>
        <v>0</v>
      </c>
      <c r="W383" s="12">
        <f t="shared" si="159"/>
        <v>0</v>
      </c>
      <c r="X383" s="116"/>
      <c r="Y383" s="117">
        <f t="shared" si="162"/>
        <v>0</v>
      </c>
      <c r="Z383" s="12"/>
      <c r="AA383" s="12">
        <f t="shared" si="160"/>
        <v>0</v>
      </c>
      <c r="AB383" s="12"/>
      <c r="AC383" s="12">
        <f t="shared" si="161"/>
        <v>0</v>
      </c>
      <c r="AD383" s="42"/>
      <c r="AE383" s="12"/>
    </row>
    <row r="384" spans="1:31" s="46" customFormat="1" ht="21">
      <c r="A384" s="42"/>
      <c r="B384" s="42"/>
      <c r="C384" s="45"/>
      <c r="D384" s="45"/>
      <c r="E384" s="45"/>
      <c r="F384" s="47"/>
      <c r="G384" s="42"/>
      <c r="H384" s="42"/>
      <c r="I384" s="44"/>
      <c r="J384" s="44">
        <f t="shared" si="155"/>
        <v>0</v>
      </c>
      <c r="K384" s="42"/>
      <c r="L384" s="42">
        <f t="shared" si="156"/>
        <v>0</v>
      </c>
      <c r="M384" s="42"/>
      <c r="N384" s="42"/>
      <c r="O384" s="42"/>
      <c r="P384" s="31"/>
      <c r="Q384" s="42"/>
      <c r="R384" s="42"/>
      <c r="S384" s="42"/>
      <c r="T384" s="12">
        <f t="shared" si="157"/>
        <v>0</v>
      </c>
      <c r="U384" s="45"/>
      <c r="V384" s="12">
        <f>+T384*0</f>
        <v>0</v>
      </c>
      <c r="W384" s="12">
        <f t="shared" si="159"/>
        <v>0</v>
      </c>
      <c r="X384" s="116"/>
      <c r="Y384" s="117">
        <f t="shared" si="162"/>
        <v>0</v>
      </c>
      <c r="Z384" s="12"/>
      <c r="AA384" s="12">
        <f t="shared" si="160"/>
        <v>0</v>
      </c>
      <c r="AB384" s="12"/>
      <c r="AC384" s="12">
        <f t="shared" si="161"/>
        <v>0</v>
      </c>
      <c r="AD384" s="42"/>
      <c r="AE384" s="12"/>
    </row>
    <row r="385" spans="1:31" s="46" customFormat="1" ht="21">
      <c r="A385" s="42" t="s">
        <v>0</v>
      </c>
      <c r="B385" s="42" t="s">
        <v>1</v>
      </c>
      <c r="C385" s="45" t="s">
        <v>1644</v>
      </c>
      <c r="D385" s="45" t="s">
        <v>1645</v>
      </c>
      <c r="E385" s="29" t="s">
        <v>907</v>
      </c>
      <c r="F385" s="47" t="s">
        <v>137</v>
      </c>
      <c r="G385" s="42"/>
      <c r="H385" s="42"/>
      <c r="I385" s="44">
        <v>31.4</v>
      </c>
      <c r="J385" s="44">
        <f t="shared" si="155"/>
        <v>31.4</v>
      </c>
      <c r="K385" s="42">
        <v>10000</v>
      </c>
      <c r="L385" s="42">
        <f t="shared" si="156"/>
        <v>314000</v>
      </c>
      <c r="M385" s="42"/>
      <c r="N385" s="42" t="s">
        <v>62</v>
      </c>
      <c r="O385" s="104" t="s">
        <v>446</v>
      </c>
      <c r="P385" s="45">
        <v>2</v>
      </c>
      <c r="Q385" s="104">
        <v>72</v>
      </c>
      <c r="R385" s="104"/>
      <c r="S385" s="42">
        <v>6750</v>
      </c>
      <c r="T385" s="12">
        <f t="shared" si="157"/>
        <v>486000</v>
      </c>
      <c r="U385" s="102" t="s">
        <v>84</v>
      </c>
      <c r="V385" s="12">
        <f>+T385*0.2</f>
        <v>97200</v>
      </c>
      <c r="W385" s="12">
        <f t="shared" si="159"/>
        <v>388800</v>
      </c>
      <c r="X385" s="116"/>
      <c r="Y385" s="117">
        <f t="shared" si="162"/>
        <v>702800</v>
      </c>
      <c r="Z385" s="12"/>
      <c r="AA385" s="12">
        <f t="shared" si="160"/>
        <v>702800</v>
      </c>
      <c r="AB385" s="12">
        <v>0.02</v>
      </c>
      <c r="AC385" s="12">
        <f t="shared" si="161"/>
        <v>140.56</v>
      </c>
      <c r="AD385" s="42"/>
      <c r="AE385" s="12"/>
    </row>
    <row r="386" spans="1:31" s="46" customFormat="1" ht="21">
      <c r="A386" s="42"/>
      <c r="B386" s="42"/>
      <c r="C386" s="45"/>
      <c r="D386" s="45"/>
      <c r="E386" s="45"/>
      <c r="F386" s="47"/>
      <c r="G386" s="42"/>
      <c r="H386" s="42"/>
      <c r="I386" s="44"/>
      <c r="J386" s="44">
        <f t="shared" si="155"/>
        <v>0</v>
      </c>
      <c r="K386" s="42"/>
      <c r="L386" s="42">
        <f t="shared" si="156"/>
        <v>0</v>
      </c>
      <c r="M386" s="42"/>
      <c r="N386" s="42"/>
      <c r="O386" s="100"/>
      <c r="P386" s="31"/>
      <c r="Q386" s="100"/>
      <c r="R386" s="100"/>
      <c r="S386" s="42"/>
      <c r="T386" s="12">
        <f t="shared" si="157"/>
        <v>0</v>
      </c>
      <c r="U386" s="45"/>
      <c r="V386" s="12">
        <f aca="true" t="shared" si="163" ref="V386:V391">+T386*0</f>
        <v>0</v>
      </c>
      <c r="W386" s="12">
        <f t="shared" si="159"/>
        <v>0</v>
      </c>
      <c r="X386" s="116"/>
      <c r="Y386" s="117">
        <f t="shared" si="162"/>
        <v>0</v>
      </c>
      <c r="Z386" s="12"/>
      <c r="AA386" s="12">
        <f t="shared" si="160"/>
        <v>0</v>
      </c>
      <c r="AB386" s="12"/>
      <c r="AC386" s="12">
        <f t="shared" si="161"/>
        <v>0</v>
      </c>
      <c r="AD386" s="42"/>
      <c r="AE386" s="12"/>
    </row>
    <row r="387" spans="1:31" s="46" customFormat="1" ht="21">
      <c r="A387" s="42"/>
      <c r="B387" s="42"/>
      <c r="C387" s="45"/>
      <c r="D387" s="45"/>
      <c r="E387" s="45"/>
      <c r="F387" s="47"/>
      <c r="G387" s="42"/>
      <c r="H387" s="42"/>
      <c r="I387" s="44"/>
      <c r="J387" s="44">
        <f t="shared" si="155"/>
        <v>0</v>
      </c>
      <c r="K387" s="42"/>
      <c r="L387" s="42">
        <f t="shared" si="156"/>
        <v>0</v>
      </c>
      <c r="M387" s="42"/>
      <c r="N387" s="42"/>
      <c r="O387" s="42"/>
      <c r="P387" s="31"/>
      <c r="Q387" s="42"/>
      <c r="R387" s="42"/>
      <c r="S387" s="42"/>
      <c r="T387" s="12">
        <f t="shared" si="157"/>
        <v>0</v>
      </c>
      <c r="U387" s="45"/>
      <c r="V387" s="12">
        <f t="shared" si="163"/>
        <v>0</v>
      </c>
      <c r="W387" s="12">
        <f t="shared" si="159"/>
        <v>0</v>
      </c>
      <c r="X387" s="116"/>
      <c r="Y387" s="117">
        <f t="shared" si="162"/>
        <v>0</v>
      </c>
      <c r="Z387" s="12"/>
      <c r="AA387" s="12">
        <f t="shared" si="160"/>
        <v>0</v>
      </c>
      <c r="AB387" s="12"/>
      <c r="AC387" s="12">
        <f t="shared" si="161"/>
        <v>0</v>
      </c>
      <c r="AD387" s="42"/>
      <c r="AE387" s="12"/>
    </row>
    <row r="388" spans="1:31" s="46" customFormat="1" ht="21">
      <c r="A388" s="42" t="s">
        <v>0</v>
      </c>
      <c r="B388" s="42" t="s">
        <v>1</v>
      </c>
      <c r="C388" s="45" t="s">
        <v>1647</v>
      </c>
      <c r="D388" s="45" t="s">
        <v>1646</v>
      </c>
      <c r="E388" s="29" t="s">
        <v>907</v>
      </c>
      <c r="F388" s="47" t="s">
        <v>140</v>
      </c>
      <c r="G388" s="42"/>
      <c r="H388" s="42"/>
      <c r="I388" s="44">
        <v>55.9</v>
      </c>
      <c r="J388" s="44">
        <f t="shared" si="155"/>
        <v>55.9</v>
      </c>
      <c r="K388" s="42">
        <v>15000</v>
      </c>
      <c r="L388" s="42">
        <f t="shared" si="156"/>
        <v>838500</v>
      </c>
      <c r="M388" s="42"/>
      <c r="N388" s="42"/>
      <c r="O388" s="100"/>
      <c r="P388" s="45"/>
      <c r="Q388" s="100"/>
      <c r="R388" s="100"/>
      <c r="S388" s="42"/>
      <c r="T388" s="12">
        <f t="shared" si="157"/>
        <v>0</v>
      </c>
      <c r="U388" s="45"/>
      <c r="V388" s="12">
        <f t="shared" si="163"/>
        <v>0</v>
      </c>
      <c r="W388" s="12">
        <f t="shared" si="159"/>
        <v>0</v>
      </c>
      <c r="X388" s="116"/>
      <c r="Y388" s="117">
        <f t="shared" si="162"/>
        <v>838500</v>
      </c>
      <c r="Z388" s="12"/>
      <c r="AA388" s="12">
        <f t="shared" si="160"/>
        <v>838500</v>
      </c>
      <c r="AB388" s="12">
        <v>0.3</v>
      </c>
      <c r="AC388" s="12">
        <f t="shared" si="161"/>
        <v>2515.5</v>
      </c>
      <c r="AD388" s="42"/>
      <c r="AE388" s="12"/>
    </row>
    <row r="389" spans="1:31" s="46" customFormat="1" ht="21">
      <c r="A389" s="42" t="s">
        <v>0</v>
      </c>
      <c r="B389" s="42" t="s">
        <v>1</v>
      </c>
      <c r="C389" s="45" t="s">
        <v>1648</v>
      </c>
      <c r="D389" s="45" t="s">
        <v>1649</v>
      </c>
      <c r="E389" s="29" t="s">
        <v>907</v>
      </c>
      <c r="F389" s="47" t="s">
        <v>143</v>
      </c>
      <c r="G389" s="42"/>
      <c r="H389" s="42"/>
      <c r="I389" s="44">
        <v>50</v>
      </c>
      <c r="J389" s="44">
        <f t="shared" si="155"/>
        <v>50</v>
      </c>
      <c r="K389" s="42">
        <v>12000</v>
      </c>
      <c r="L389" s="42">
        <f t="shared" si="156"/>
        <v>600000</v>
      </c>
      <c r="M389" s="42"/>
      <c r="N389" s="42"/>
      <c r="O389" s="100"/>
      <c r="P389" s="45"/>
      <c r="Q389" s="100"/>
      <c r="R389" s="100"/>
      <c r="S389" s="42"/>
      <c r="T389" s="12">
        <f t="shared" si="157"/>
        <v>0</v>
      </c>
      <c r="U389" s="45"/>
      <c r="V389" s="12">
        <f t="shared" si="163"/>
        <v>0</v>
      </c>
      <c r="W389" s="12">
        <f t="shared" si="159"/>
        <v>0</v>
      </c>
      <c r="X389" s="116"/>
      <c r="Y389" s="117">
        <f t="shared" si="162"/>
        <v>600000</v>
      </c>
      <c r="Z389" s="12"/>
      <c r="AA389" s="12">
        <f t="shared" si="160"/>
        <v>600000</v>
      </c>
      <c r="AB389" s="12">
        <v>0.3</v>
      </c>
      <c r="AC389" s="12">
        <f t="shared" si="161"/>
        <v>1800</v>
      </c>
      <c r="AD389" s="42"/>
      <c r="AE389" s="12"/>
    </row>
    <row r="390" spans="1:31" s="46" customFormat="1" ht="21">
      <c r="A390" s="42"/>
      <c r="B390" s="42"/>
      <c r="C390" s="45"/>
      <c r="D390" s="45"/>
      <c r="E390" s="45"/>
      <c r="F390" s="47"/>
      <c r="G390" s="42"/>
      <c r="H390" s="42"/>
      <c r="I390" s="44"/>
      <c r="J390" s="44">
        <f t="shared" si="155"/>
        <v>0</v>
      </c>
      <c r="K390" s="42"/>
      <c r="L390" s="42">
        <f t="shared" si="156"/>
        <v>0</v>
      </c>
      <c r="M390" s="42"/>
      <c r="N390" s="42"/>
      <c r="O390" s="100"/>
      <c r="P390" s="31"/>
      <c r="Q390" s="100"/>
      <c r="R390" s="100"/>
      <c r="S390" s="42"/>
      <c r="T390" s="12">
        <f t="shared" si="157"/>
        <v>0</v>
      </c>
      <c r="U390" s="45"/>
      <c r="V390" s="12">
        <f t="shared" si="163"/>
        <v>0</v>
      </c>
      <c r="W390" s="12">
        <f t="shared" si="159"/>
        <v>0</v>
      </c>
      <c r="X390" s="116"/>
      <c r="Y390" s="117">
        <f t="shared" si="162"/>
        <v>0</v>
      </c>
      <c r="Z390" s="12"/>
      <c r="AA390" s="12">
        <f t="shared" si="160"/>
        <v>0</v>
      </c>
      <c r="AB390" s="12"/>
      <c r="AC390" s="12">
        <f t="shared" si="161"/>
        <v>0</v>
      </c>
      <c r="AD390" s="42"/>
      <c r="AE390" s="12"/>
    </row>
    <row r="391" spans="1:31" s="46" customFormat="1" ht="21">
      <c r="A391" s="42"/>
      <c r="B391" s="42"/>
      <c r="C391" s="45"/>
      <c r="D391" s="45"/>
      <c r="E391" s="45"/>
      <c r="F391" s="47"/>
      <c r="G391" s="42"/>
      <c r="H391" s="42"/>
      <c r="I391" s="44"/>
      <c r="J391" s="44">
        <f t="shared" si="155"/>
        <v>0</v>
      </c>
      <c r="K391" s="42"/>
      <c r="L391" s="42">
        <f t="shared" si="156"/>
        <v>0</v>
      </c>
      <c r="M391" s="42"/>
      <c r="N391" s="42"/>
      <c r="O391" s="42"/>
      <c r="P391" s="31"/>
      <c r="Q391" s="42"/>
      <c r="R391" s="42"/>
      <c r="S391" s="42"/>
      <c r="T391" s="12">
        <f t="shared" si="157"/>
        <v>0</v>
      </c>
      <c r="U391" s="45"/>
      <c r="V391" s="12">
        <f t="shared" si="163"/>
        <v>0</v>
      </c>
      <c r="W391" s="12">
        <f t="shared" si="159"/>
        <v>0</v>
      </c>
      <c r="X391" s="116"/>
      <c r="Y391" s="117">
        <f t="shared" si="162"/>
        <v>0</v>
      </c>
      <c r="Z391" s="12"/>
      <c r="AA391" s="12">
        <f t="shared" si="160"/>
        <v>0</v>
      </c>
      <c r="AB391" s="12"/>
      <c r="AC391" s="12">
        <f t="shared" si="161"/>
        <v>0</v>
      </c>
      <c r="AD391" s="42"/>
      <c r="AE391" s="12"/>
    </row>
    <row r="392" spans="1:31" s="46" customFormat="1" ht="21">
      <c r="A392" s="42" t="s">
        <v>0</v>
      </c>
      <c r="B392" s="42" t="s">
        <v>1</v>
      </c>
      <c r="C392" s="45" t="s">
        <v>1650</v>
      </c>
      <c r="D392" s="51" t="s">
        <v>1651</v>
      </c>
      <c r="E392" s="29" t="s">
        <v>907</v>
      </c>
      <c r="F392" s="47" t="s">
        <v>143</v>
      </c>
      <c r="G392" s="42"/>
      <c r="H392" s="42"/>
      <c r="I392" s="44">
        <v>15.2</v>
      </c>
      <c r="J392" s="44">
        <f t="shared" si="155"/>
        <v>15.2</v>
      </c>
      <c r="K392" s="42">
        <v>40000</v>
      </c>
      <c r="L392" s="42">
        <f t="shared" si="156"/>
        <v>608000</v>
      </c>
      <c r="M392" s="42"/>
      <c r="N392" s="42" t="s">
        <v>60</v>
      </c>
      <c r="O392" s="104" t="s">
        <v>446</v>
      </c>
      <c r="P392" s="45" t="s">
        <v>143</v>
      </c>
      <c r="Q392" s="104">
        <v>96</v>
      </c>
      <c r="R392" s="100"/>
      <c r="S392" s="42">
        <v>7550</v>
      </c>
      <c r="T392" s="12">
        <f t="shared" si="157"/>
        <v>724800</v>
      </c>
      <c r="U392" s="102" t="s">
        <v>82</v>
      </c>
      <c r="V392" s="12">
        <f>+T392*0.16</f>
        <v>115968</v>
      </c>
      <c r="W392" s="12">
        <f t="shared" si="159"/>
        <v>608832</v>
      </c>
      <c r="X392" s="116"/>
      <c r="Y392" s="117">
        <f t="shared" si="162"/>
        <v>1216832</v>
      </c>
      <c r="Z392" s="12"/>
      <c r="AA392" s="12">
        <f t="shared" si="160"/>
        <v>1216832</v>
      </c>
      <c r="AB392" s="12">
        <v>0.3</v>
      </c>
      <c r="AC392" s="12">
        <f t="shared" si="161"/>
        <v>3650.4959999999996</v>
      </c>
      <c r="AD392" s="42"/>
      <c r="AE392" s="12"/>
    </row>
    <row r="393" spans="1:31" s="46" customFormat="1" ht="21">
      <c r="A393" s="42"/>
      <c r="B393" s="42"/>
      <c r="C393" s="45"/>
      <c r="D393" s="45"/>
      <c r="E393" s="45"/>
      <c r="F393" s="47"/>
      <c r="G393" s="42"/>
      <c r="H393" s="42"/>
      <c r="I393" s="44"/>
      <c r="J393" s="44">
        <f t="shared" si="155"/>
        <v>0</v>
      </c>
      <c r="K393" s="42"/>
      <c r="L393" s="42">
        <f t="shared" si="156"/>
        <v>0</v>
      </c>
      <c r="M393" s="42"/>
      <c r="N393" s="42"/>
      <c r="O393" s="100"/>
      <c r="P393" s="31"/>
      <c r="Q393" s="100"/>
      <c r="R393" s="100"/>
      <c r="S393" s="42"/>
      <c r="T393" s="12">
        <f t="shared" si="157"/>
        <v>0</v>
      </c>
      <c r="U393" s="45"/>
      <c r="V393" s="12">
        <f>+T393*0</f>
        <v>0</v>
      </c>
      <c r="W393" s="12">
        <f t="shared" si="159"/>
        <v>0</v>
      </c>
      <c r="X393" s="116"/>
      <c r="Y393" s="117">
        <f t="shared" si="162"/>
        <v>0</v>
      </c>
      <c r="Z393" s="12"/>
      <c r="AA393" s="12">
        <f t="shared" si="160"/>
        <v>0</v>
      </c>
      <c r="AB393" s="12"/>
      <c r="AC393" s="12">
        <f t="shared" si="161"/>
        <v>0</v>
      </c>
      <c r="AD393" s="42"/>
      <c r="AE393" s="12"/>
    </row>
    <row r="394" spans="1:31" s="46" customFormat="1" ht="21">
      <c r="A394" s="42"/>
      <c r="B394" s="42"/>
      <c r="C394" s="45"/>
      <c r="D394" s="45"/>
      <c r="E394" s="45"/>
      <c r="F394" s="47"/>
      <c r="G394" s="42"/>
      <c r="H394" s="42"/>
      <c r="I394" s="44"/>
      <c r="J394" s="44">
        <f t="shared" si="155"/>
        <v>0</v>
      </c>
      <c r="K394" s="42"/>
      <c r="L394" s="42">
        <f t="shared" si="156"/>
        <v>0</v>
      </c>
      <c r="M394" s="42"/>
      <c r="N394" s="42"/>
      <c r="O394" s="42"/>
      <c r="P394" s="31"/>
      <c r="Q394" s="42"/>
      <c r="R394" s="42"/>
      <c r="S394" s="42"/>
      <c r="T394" s="12">
        <f t="shared" si="157"/>
        <v>0</v>
      </c>
      <c r="U394" s="45"/>
      <c r="V394" s="12">
        <f>+T394*0</f>
        <v>0</v>
      </c>
      <c r="W394" s="12">
        <f t="shared" si="159"/>
        <v>0</v>
      </c>
      <c r="X394" s="116"/>
      <c r="Y394" s="117">
        <f t="shared" si="162"/>
        <v>0</v>
      </c>
      <c r="Z394" s="12"/>
      <c r="AA394" s="12">
        <f t="shared" si="160"/>
        <v>0</v>
      </c>
      <c r="AB394" s="12"/>
      <c r="AC394" s="12">
        <f t="shared" si="161"/>
        <v>0</v>
      </c>
      <c r="AD394" s="42"/>
      <c r="AE394" s="12"/>
    </row>
    <row r="395" spans="1:31" s="46" customFormat="1" ht="21">
      <c r="A395" s="42" t="s">
        <v>0</v>
      </c>
      <c r="B395" s="42" t="s">
        <v>1</v>
      </c>
      <c r="C395" s="45" t="s">
        <v>1652</v>
      </c>
      <c r="D395" s="51" t="s">
        <v>1655</v>
      </c>
      <c r="E395" s="29" t="s">
        <v>907</v>
      </c>
      <c r="F395" s="47" t="s">
        <v>137</v>
      </c>
      <c r="G395" s="42"/>
      <c r="H395" s="42"/>
      <c r="I395" s="44">
        <v>91.4</v>
      </c>
      <c r="J395" s="44">
        <f t="shared" si="155"/>
        <v>91.4</v>
      </c>
      <c r="K395" s="42">
        <v>8000</v>
      </c>
      <c r="L395" s="42">
        <f t="shared" si="156"/>
        <v>731200</v>
      </c>
      <c r="M395" s="42"/>
      <c r="N395" s="42" t="s">
        <v>64</v>
      </c>
      <c r="O395" s="104" t="s">
        <v>446</v>
      </c>
      <c r="P395" s="45">
        <v>2</v>
      </c>
      <c r="Q395" s="104">
        <v>126</v>
      </c>
      <c r="R395" s="100"/>
      <c r="S395" s="42">
        <v>6550</v>
      </c>
      <c r="T395" s="12">
        <f t="shared" si="157"/>
        <v>825300</v>
      </c>
      <c r="U395" s="102" t="s">
        <v>85</v>
      </c>
      <c r="V395" s="12">
        <f>+T395*0.22</f>
        <v>181566</v>
      </c>
      <c r="W395" s="12">
        <f t="shared" si="159"/>
        <v>643734</v>
      </c>
      <c r="X395" s="116"/>
      <c r="Y395" s="117">
        <f t="shared" si="162"/>
        <v>1374934</v>
      </c>
      <c r="Z395" s="12">
        <f>+Y395</f>
        <v>1374934</v>
      </c>
      <c r="AA395" s="12">
        <f t="shared" si="160"/>
        <v>0</v>
      </c>
      <c r="AB395" s="12"/>
      <c r="AC395" s="12">
        <f t="shared" si="161"/>
        <v>0</v>
      </c>
      <c r="AD395" s="42" t="s">
        <v>906</v>
      </c>
      <c r="AE395" s="12"/>
    </row>
    <row r="396" spans="1:31" s="46" customFormat="1" ht="21">
      <c r="A396" s="42" t="s">
        <v>0</v>
      </c>
      <c r="B396" s="42" t="s">
        <v>1</v>
      </c>
      <c r="C396" s="45" t="s">
        <v>1653</v>
      </c>
      <c r="D396" s="51" t="s">
        <v>1656</v>
      </c>
      <c r="E396" s="29" t="s">
        <v>907</v>
      </c>
      <c r="F396" s="47" t="s">
        <v>140</v>
      </c>
      <c r="G396" s="42"/>
      <c r="H396" s="42">
        <v>1</v>
      </c>
      <c r="I396" s="44">
        <v>5.5</v>
      </c>
      <c r="J396" s="44">
        <f t="shared" si="155"/>
        <v>105.5</v>
      </c>
      <c r="K396" s="42">
        <v>6000</v>
      </c>
      <c r="L396" s="42">
        <f t="shared" si="156"/>
        <v>633000</v>
      </c>
      <c r="M396" s="42"/>
      <c r="N396" s="42"/>
      <c r="O396" s="100"/>
      <c r="P396" s="45"/>
      <c r="Q396" s="100"/>
      <c r="R396" s="100"/>
      <c r="S396" s="42"/>
      <c r="T396" s="12">
        <f t="shared" si="157"/>
        <v>0</v>
      </c>
      <c r="U396" s="45"/>
      <c r="V396" s="12">
        <f>+T396*0</f>
        <v>0</v>
      </c>
      <c r="W396" s="12">
        <f t="shared" si="159"/>
        <v>0</v>
      </c>
      <c r="X396" s="116"/>
      <c r="Y396" s="117">
        <f t="shared" si="162"/>
        <v>633000</v>
      </c>
      <c r="Z396" s="12"/>
      <c r="AA396" s="12">
        <f t="shared" si="160"/>
        <v>633000</v>
      </c>
      <c r="AB396" s="12">
        <v>0.3</v>
      </c>
      <c r="AC396" s="12">
        <f t="shared" si="161"/>
        <v>1899</v>
      </c>
      <c r="AD396" s="42"/>
      <c r="AE396" s="12"/>
    </row>
    <row r="397" spans="1:31" s="46" customFormat="1" ht="21">
      <c r="A397" s="42" t="s">
        <v>0</v>
      </c>
      <c r="B397" s="42" t="s">
        <v>1</v>
      </c>
      <c r="C397" s="45" t="s">
        <v>1654</v>
      </c>
      <c r="D397" s="51" t="s">
        <v>1657</v>
      </c>
      <c r="E397" s="29" t="s">
        <v>907</v>
      </c>
      <c r="F397" s="47" t="s">
        <v>140</v>
      </c>
      <c r="G397" s="42"/>
      <c r="H397" s="42"/>
      <c r="I397" s="44">
        <v>4.2</v>
      </c>
      <c r="J397" s="44">
        <f t="shared" si="155"/>
        <v>4.2</v>
      </c>
      <c r="K397" s="42">
        <v>6000</v>
      </c>
      <c r="L397" s="42">
        <f t="shared" si="156"/>
        <v>25200</v>
      </c>
      <c r="M397" s="42"/>
      <c r="N397" s="42"/>
      <c r="O397" s="42"/>
      <c r="P397" s="45"/>
      <c r="Q397" s="42"/>
      <c r="R397" s="100"/>
      <c r="S397" s="42"/>
      <c r="T397" s="12">
        <f t="shared" si="157"/>
        <v>0</v>
      </c>
      <c r="U397" s="45"/>
      <c r="V397" s="12">
        <f>+T397*0</f>
        <v>0</v>
      </c>
      <c r="W397" s="12">
        <f t="shared" si="159"/>
        <v>0</v>
      </c>
      <c r="X397" s="116"/>
      <c r="Y397" s="117">
        <f t="shared" si="162"/>
        <v>25200</v>
      </c>
      <c r="Z397" s="12"/>
      <c r="AA397" s="12">
        <f t="shared" si="160"/>
        <v>25200</v>
      </c>
      <c r="AB397" s="12">
        <v>0.3</v>
      </c>
      <c r="AC397" s="12">
        <f t="shared" si="161"/>
        <v>75.6</v>
      </c>
      <c r="AD397" s="42"/>
      <c r="AE397" s="12"/>
    </row>
    <row r="398" spans="1:31" s="46" customFormat="1" ht="21">
      <c r="A398" s="42"/>
      <c r="B398" s="42"/>
      <c r="C398" s="45"/>
      <c r="D398" s="45"/>
      <c r="E398" s="45"/>
      <c r="F398" s="47"/>
      <c r="G398" s="42"/>
      <c r="H398" s="42"/>
      <c r="I398" s="44"/>
      <c r="J398" s="44">
        <f t="shared" si="155"/>
        <v>0</v>
      </c>
      <c r="K398" s="42"/>
      <c r="L398" s="42">
        <f t="shared" si="156"/>
        <v>0</v>
      </c>
      <c r="M398" s="42"/>
      <c r="N398" s="42"/>
      <c r="O398" s="42"/>
      <c r="P398" s="31"/>
      <c r="Q398" s="42"/>
      <c r="R398" s="42"/>
      <c r="S398" s="42"/>
      <c r="T398" s="12">
        <f t="shared" si="157"/>
        <v>0</v>
      </c>
      <c r="U398" s="45"/>
      <c r="V398" s="12">
        <f>+T398*0</f>
        <v>0</v>
      </c>
      <c r="W398" s="12">
        <f t="shared" si="159"/>
        <v>0</v>
      </c>
      <c r="X398" s="116"/>
      <c r="Y398" s="117">
        <f t="shared" si="162"/>
        <v>0</v>
      </c>
      <c r="Z398" s="12"/>
      <c r="AA398" s="12">
        <f t="shared" si="160"/>
        <v>0</v>
      </c>
      <c r="AB398" s="12"/>
      <c r="AC398" s="12">
        <f t="shared" si="161"/>
        <v>0</v>
      </c>
      <c r="AD398" s="42"/>
      <c r="AE398" s="12"/>
    </row>
    <row r="399" spans="1:31" s="46" customFormat="1" ht="21">
      <c r="A399" s="42" t="s">
        <v>0</v>
      </c>
      <c r="B399" s="42" t="s">
        <v>1</v>
      </c>
      <c r="C399" s="45" t="s">
        <v>1535</v>
      </c>
      <c r="D399" s="51" t="s">
        <v>1658</v>
      </c>
      <c r="E399" s="45" t="s">
        <v>910</v>
      </c>
      <c r="F399" s="47" t="s">
        <v>167</v>
      </c>
      <c r="G399" s="42"/>
      <c r="H399" s="42"/>
      <c r="I399" s="44">
        <v>19.8</v>
      </c>
      <c r="J399" s="44">
        <f t="shared" si="155"/>
        <v>19.8</v>
      </c>
      <c r="K399" s="42">
        <v>12000</v>
      </c>
      <c r="L399" s="42">
        <f t="shared" si="156"/>
        <v>237600</v>
      </c>
      <c r="M399" s="42">
        <v>1</v>
      </c>
      <c r="N399" s="42" t="s">
        <v>60</v>
      </c>
      <c r="O399" s="104" t="s">
        <v>446</v>
      </c>
      <c r="P399" s="45">
        <v>2</v>
      </c>
      <c r="Q399" s="104">
        <v>48</v>
      </c>
      <c r="R399" s="100">
        <f>+Q399*100/(Q399+Q400)</f>
        <v>50</v>
      </c>
      <c r="S399" s="42">
        <v>7550</v>
      </c>
      <c r="T399" s="12">
        <f t="shared" si="157"/>
        <v>362400</v>
      </c>
      <c r="U399" s="45" t="s">
        <v>144</v>
      </c>
      <c r="V399" s="12">
        <f>+T399*0.07</f>
        <v>25368.000000000004</v>
      </c>
      <c r="W399" s="12">
        <f t="shared" si="159"/>
        <v>337032</v>
      </c>
      <c r="X399" s="116"/>
      <c r="Y399" s="117">
        <f>+L399*(R399/100)+W399</f>
        <v>455832</v>
      </c>
      <c r="Z399" s="12"/>
      <c r="AA399" s="12">
        <f t="shared" si="160"/>
        <v>455832</v>
      </c>
      <c r="AB399" s="12">
        <v>0.02</v>
      </c>
      <c r="AC399" s="12">
        <f t="shared" si="161"/>
        <v>91.1664</v>
      </c>
      <c r="AD399" s="42"/>
      <c r="AE399" s="12"/>
    </row>
    <row r="400" spans="1:31" s="46" customFormat="1" ht="21">
      <c r="A400" s="42" t="s">
        <v>0</v>
      </c>
      <c r="B400" s="42"/>
      <c r="C400" s="45"/>
      <c r="D400" s="45"/>
      <c r="E400" s="45"/>
      <c r="F400" s="47"/>
      <c r="G400" s="42"/>
      <c r="H400" s="42"/>
      <c r="I400" s="44"/>
      <c r="J400" s="44">
        <f aca="true" t="shared" si="164" ref="J400:J431">+I400+(H400*100)+(G400*400)</f>
        <v>0</v>
      </c>
      <c r="K400" s="42"/>
      <c r="L400" s="42">
        <f t="shared" si="156"/>
        <v>0</v>
      </c>
      <c r="M400" s="42">
        <v>2</v>
      </c>
      <c r="N400" s="42" t="s">
        <v>60</v>
      </c>
      <c r="O400" s="104" t="s">
        <v>446</v>
      </c>
      <c r="P400" s="45" t="s">
        <v>143</v>
      </c>
      <c r="Q400" s="104">
        <v>48</v>
      </c>
      <c r="R400" s="100">
        <f>+Q400*100/(Q399+Q400)</f>
        <v>50</v>
      </c>
      <c r="S400" s="42">
        <v>7550</v>
      </c>
      <c r="T400" s="12">
        <f aca="true" t="shared" si="165" ref="T400:T431">+Q400*S400</f>
        <v>362400</v>
      </c>
      <c r="U400" s="45" t="s">
        <v>144</v>
      </c>
      <c r="V400" s="12">
        <f>+T400*0.07</f>
        <v>25368.000000000004</v>
      </c>
      <c r="W400" s="12">
        <f aca="true" t="shared" si="166" ref="W400:W431">+T400-V400</f>
        <v>337032</v>
      </c>
      <c r="X400" s="116"/>
      <c r="Y400" s="117">
        <f>+L399*(R400/100)+W400</f>
        <v>455832</v>
      </c>
      <c r="Z400" s="12"/>
      <c r="AA400" s="12">
        <f t="shared" si="160"/>
        <v>455832</v>
      </c>
      <c r="AB400" s="12">
        <v>0.3</v>
      </c>
      <c r="AC400" s="12">
        <f t="shared" si="161"/>
        <v>1367.496</v>
      </c>
      <c r="AD400" s="42"/>
      <c r="AE400" s="12"/>
    </row>
    <row r="401" spans="1:31" s="46" customFormat="1" ht="21">
      <c r="A401" s="42"/>
      <c r="B401" s="42"/>
      <c r="C401" s="45"/>
      <c r="D401" s="45"/>
      <c r="E401" s="45"/>
      <c r="F401" s="47"/>
      <c r="G401" s="42"/>
      <c r="H401" s="42"/>
      <c r="I401" s="44"/>
      <c r="J401" s="44">
        <f t="shared" si="164"/>
        <v>0</v>
      </c>
      <c r="K401" s="42"/>
      <c r="L401" s="42">
        <f t="shared" si="156"/>
        <v>0</v>
      </c>
      <c r="M401" s="42"/>
      <c r="N401" s="42"/>
      <c r="O401" s="42"/>
      <c r="P401" s="31"/>
      <c r="Q401" s="42"/>
      <c r="R401" s="42"/>
      <c r="S401" s="42"/>
      <c r="T401" s="12">
        <f t="shared" si="165"/>
        <v>0</v>
      </c>
      <c r="U401" s="45"/>
      <c r="V401" s="12">
        <f>+T401*0</f>
        <v>0</v>
      </c>
      <c r="W401" s="12">
        <f t="shared" si="166"/>
        <v>0</v>
      </c>
      <c r="X401" s="116"/>
      <c r="Y401" s="117">
        <f t="shared" si="162"/>
        <v>0</v>
      </c>
      <c r="Z401" s="12"/>
      <c r="AA401" s="12">
        <f t="shared" si="160"/>
        <v>0</v>
      </c>
      <c r="AB401" s="12"/>
      <c r="AC401" s="12">
        <f t="shared" si="161"/>
        <v>0</v>
      </c>
      <c r="AD401" s="42"/>
      <c r="AE401" s="12"/>
    </row>
    <row r="402" spans="1:31" s="46" customFormat="1" ht="21">
      <c r="A402" s="42" t="s">
        <v>0</v>
      </c>
      <c r="B402" s="42" t="s">
        <v>1</v>
      </c>
      <c r="C402" s="45" t="s">
        <v>1659</v>
      </c>
      <c r="D402" s="51" t="s">
        <v>1661</v>
      </c>
      <c r="E402" s="10" t="s">
        <v>909</v>
      </c>
      <c r="F402" s="47" t="s">
        <v>140</v>
      </c>
      <c r="G402" s="42"/>
      <c r="H402" s="42"/>
      <c r="I402" s="44">
        <v>61.2</v>
      </c>
      <c r="J402" s="44">
        <f t="shared" si="164"/>
        <v>61.2</v>
      </c>
      <c r="K402" s="42">
        <v>1500</v>
      </c>
      <c r="L402" s="42">
        <f t="shared" si="156"/>
        <v>91800</v>
      </c>
      <c r="M402" s="42"/>
      <c r="N402" s="42"/>
      <c r="O402" s="100"/>
      <c r="P402" s="45"/>
      <c r="Q402" s="100"/>
      <c r="R402" s="100"/>
      <c r="S402" s="42"/>
      <c r="T402" s="12">
        <f t="shared" si="165"/>
        <v>0</v>
      </c>
      <c r="U402" s="45"/>
      <c r="V402" s="12">
        <f>+T402*0</f>
        <v>0</v>
      </c>
      <c r="W402" s="12">
        <f t="shared" si="166"/>
        <v>0</v>
      </c>
      <c r="X402" s="116"/>
      <c r="Y402" s="117">
        <f t="shared" si="162"/>
        <v>91800</v>
      </c>
      <c r="Z402" s="12"/>
      <c r="AA402" s="12">
        <f t="shared" si="160"/>
        <v>91800</v>
      </c>
      <c r="AB402" s="12">
        <v>0.3</v>
      </c>
      <c r="AC402" s="12">
        <f t="shared" si="161"/>
        <v>275.4</v>
      </c>
      <c r="AD402" s="42"/>
      <c r="AE402" s="12"/>
    </row>
    <row r="403" spans="1:31" s="46" customFormat="1" ht="21">
      <c r="A403" s="42" t="s">
        <v>0</v>
      </c>
      <c r="B403" s="42" t="s">
        <v>1</v>
      </c>
      <c r="C403" s="45" t="s">
        <v>1660</v>
      </c>
      <c r="D403" s="51" t="s">
        <v>1662</v>
      </c>
      <c r="E403" s="29" t="s">
        <v>907</v>
      </c>
      <c r="F403" s="47" t="s">
        <v>137</v>
      </c>
      <c r="G403" s="42"/>
      <c r="H403" s="42"/>
      <c r="I403" s="44">
        <v>60.3</v>
      </c>
      <c r="J403" s="44">
        <f t="shared" si="164"/>
        <v>60.3</v>
      </c>
      <c r="K403" s="42">
        <v>12000</v>
      </c>
      <c r="L403" s="42">
        <f t="shared" si="156"/>
        <v>723600</v>
      </c>
      <c r="M403" s="42"/>
      <c r="N403" s="42" t="s">
        <v>64</v>
      </c>
      <c r="O403" s="104" t="s">
        <v>446</v>
      </c>
      <c r="P403" s="45">
        <v>2</v>
      </c>
      <c r="Q403" s="104">
        <v>104</v>
      </c>
      <c r="R403" s="100"/>
      <c r="S403" s="42">
        <v>6550</v>
      </c>
      <c r="T403" s="12">
        <f t="shared" si="165"/>
        <v>681200</v>
      </c>
      <c r="U403" s="45" t="s">
        <v>150</v>
      </c>
      <c r="V403" s="12">
        <f>+T403*0.04</f>
        <v>27248</v>
      </c>
      <c r="W403" s="12">
        <f t="shared" si="166"/>
        <v>653952</v>
      </c>
      <c r="X403" s="116"/>
      <c r="Y403" s="117">
        <f t="shared" si="162"/>
        <v>1377552</v>
      </c>
      <c r="Z403" s="12">
        <f>+Y403</f>
        <v>1377552</v>
      </c>
      <c r="AA403" s="12">
        <f t="shared" si="160"/>
        <v>0</v>
      </c>
      <c r="AB403" s="12"/>
      <c r="AC403" s="12">
        <f t="shared" si="161"/>
        <v>0</v>
      </c>
      <c r="AD403" s="42" t="s">
        <v>906</v>
      </c>
      <c r="AE403" s="12"/>
    </row>
    <row r="404" spans="1:31" s="46" customFormat="1" ht="21">
      <c r="A404" s="42"/>
      <c r="B404" s="42"/>
      <c r="C404" s="45"/>
      <c r="D404" s="45"/>
      <c r="E404" s="45"/>
      <c r="F404" s="47"/>
      <c r="G404" s="42"/>
      <c r="H404" s="42"/>
      <c r="I404" s="44"/>
      <c r="J404" s="44">
        <f t="shared" si="164"/>
        <v>0</v>
      </c>
      <c r="K404" s="42"/>
      <c r="L404" s="42">
        <f t="shared" si="156"/>
        <v>0</v>
      </c>
      <c r="M404" s="42"/>
      <c r="N404" s="42"/>
      <c r="O404" s="100"/>
      <c r="P404" s="31"/>
      <c r="Q404" s="100"/>
      <c r="R404" s="100"/>
      <c r="S404" s="42"/>
      <c r="T404" s="12">
        <f t="shared" si="165"/>
        <v>0</v>
      </c>
      <c r="U404" s="45"/>
      <c r="V404" s="12">
        <f>+T404*0</f>
        <v>0</v>
      </c>
      <c r="W404" s="12">
        <f t="shared" si="166"/>
        <v>0</v>
      </c>
      <c r="X404" s="116"/>
      <c r="Y404" s="117">
        <f t="shared" si="162"/>
        <v>0</v>
      </c>
      <c r="Z404" s="12"/>
      <c r="AA404" s="12">
        <f t="shared" si="160"/>
        <v>0</v>
      </c>
      <c r="AB404" s="12"/>
      <c r="AC404" s="12">
        <f t="shared" si="161"/>
        <v>0</v>
      </c>
      <c r="AD404" s="42"/>
      <c r="AE404" s="12"/>
    </row>
    <row r="405" spans="1:31" s="46" customFormat="1" ht="21">
      <c r="A405" s="42"/>
      <c r="B405" s="42"/>
      <c r="C405" s="45"/>
      <c r="D405" s="45"/>
      <c r="E405" s="45"/>
      <c r="F405" s="47"/>
      <c r="G405" s="42"/>
      <c r="H405" s="42"/>
      <c r="I405" s="44"/>
      <c r="J405" s="44">
        <f t="shared" si="164"/>
        <v>0</v>
      </c>
      <c r="K405" s="42"/>
      <c r="L405" s="42">
        <f t="shared" si="156"/>
        <v>0</v>
      </c>
      <c r="M405" s="42"/>
      <c r="N405" s="42"/>
      <c r="O405" s="42"/>
      <c r="P405" s="31"/>
      <c r="Q405" s="42"/>
      <c r="R405" s="42"/>
      <c r="S405" s="42"/>
      <c r="T405" s="12">
        <f t="shared" si="165"/>
        <v>0</v>
      </c>
      <c r="U405" s="45"/>
      <c r="V405" s="12">
        <f>+T405*0</f>
        <v>0</v>
      </c>
      <c r="W405" s="12">
        <f t="shared" si="166"/>
        <v>0</v>
      </c>
      <c r="X405" s="116"/>
      <c r="Y405" s="117">
        <f t="shared" si="162"/>
        <v>0</v>
      </c>
      <c r="Z405" s="12"/>
      <c r="AA405" s="12">
        <f t="shared" si="160"/>
        <v>0</v>
      </c>
      <c r="AB405" s="12"/>
      <c r="AC405" s="12">
        <f t="shared" si="161"/>
        <v>0</v>
      </c>
      <c r="AD405" s="42"/>
      <c r="AE405" s="12"/>
    </row>
    <row r="406" spans="1:31" s="46" customFormat="1" ht="21">
      <c r="A406" s="42" t="s">
        <v>0</v>
      </c>
      <c r="B406" s="42" t="s">
        <v>1</v>
      </c>
      <c r="C406" s="45" t="s">
        <v>1663</v>
      </c>
      <c r="D406" s="45" t="s">
        <v>1665</v>
      </c>
      <c r="E406" s="29" t="s">
        <v>907</v>
      </c>
      <c r="F406" s="47" t="s">
        <v>137</v>
      </c>
      <c r="G406" s="42"/>
      <c r="H406" s="42"/>
      <c r="I406" s="44">
        <v>12.5</v>
      </c>
      <c r="J406" s="44">
        <f t="shared" si="164"/>
        <v>12.5</v>
      </c>
      <c r="K406" s="42">
        <v>12000</v>
      </c>
      <c r="L406" s="42">
        <f t="shared" si="156"/>
        <v>150000</v>
      </c>
      <c r="M406" s="42"/>
      <c r="N406" s="42" t="s">
        <v>62</v>
      </c>
      <c r="O406" s="104" t="s">
        <v>446</v>
      </c>
      <c r="P406" s="45">
        <v>2</v>
      </c>
      <c r="Q406" s="104">
        <v>40</v>
      </c>
      <c r="R406" s="104"/>
      <c r="S406" s="42">
        <v>6750</v>
      </c>
      <c r="T406" s="12">
        <f t="shared" si="165"/>
        <v>270000</v>
      </c>
      <c r="U406" s="102" t="s">
        <v>83</v>
      </c>
      <c r="V406" s="12">
        <f>+T406*0.18</f>
        <v>48600</v>
      </c>
      <c r="W406" s="12">
        <f t="shared" si="166"/>
        <v>221400</v>
      </c>
      <c r="X406" s="116"/>
      <c r="Y406" s="117">
        <f t="shared" si="162"/>
        <v>371400</v>
      </c>
      <c r="Z406" s="12"/>
      <c r="AA406" s="12">
        <f t="shared" si="160"/>
        <v>371400</v>
      </c>
      <c r="AB406" s="12">
        <v>0.02</v>
      </c>
      <c r="AC406" s="12">
        <f t="shared" si="161"/>
        <v>74.28</v>
      </c>
      <c r="AD406" s="42"/>
      <c r="AE406" s="12"/>
    </row>
    <row r="407" spans="1:31" s="46" customFormat="1" ht="21">
      <c r="A407" s="42" t="s">
        <v>0</v>
      </c>
      <c r="B407" s="42" t="s">
        <v>1</v>
      </c>
      <c r="C407" s="45" t="s">
        <v>1664</v>
      </c>
      <c r="D407" s="45" t="s">
        <v>1666</v>
      </c>
      <c r="E407" s="29" t="s">
        <v>907</v>
      </c>
      <c r="F407" s="47" t="s">
        <v>167</v>
      </c>
      <c r="G407" s="42"/>
      <c r="H407" s="42"/>
      <c r="I407" s="44">
        <v>49.6</v>
      </c>
      <c r="J407" s="44">
        <f t="shared" si="164"/>
        <v>49.6</v>
      </c>
      <c r="K407" s="42">
        <v>15000</v>
      </c>
      <c r="L407" s="42">
        <f t="shared" si="156"/>
        <v>744000</v>
      </c>
      <c r="M407" s="42">
        <v>1</v>
      </c>
      <c r="N407" s="42" t="s">
        <v>60</v>
      </c>
      <c r="O407" s="104" t="s">
        <v>446</v>
      </c>
      <c r="P407" s="45" t="s">
        <v>143</v>
      </c>
      <c r="Q407" s="104">
        <f>24*2</f>
        <v>48</v>
      </c>
      <c r="R407" s="100">
        <f>+Q407*100/(Q407+Q408)</f>
        <v>50</v>
      </c>
      <c r="S407" s="42">
        <v>7550</v>
      </c>
      <c r="T407" s="12">
        <f t="shared" si="165"/>
        <v>362400</v>
      </c>
      <c r="U407" s="102" t="s">
        <v>83</v>
      </c>
      <c r="V407" s="12">
        <f>+T407*0.18</f>
        <v>65232</v>
      </c>
      <c r="W407" s="12">
        <f t="shared" si="166"/>
        <v>297168</v>
      </c>
      <c r="X407" s="116"/>
      <c r="Y407" s="117">
        <f>+L407*(R407/100)+W407</f>
        <v>669168</v>
      </c>
      <c r="Z407" s="12"/>
      <c r="AA407" s="12">
        <f t="shared" si="160"/>
        <v>669168</v>
      </c>
      <c r="AB407" s="12">
        <v>0.3</v>
      </c>
      <c r="AC407" s="12">
        <f t="shared" si="161"/>
        <v>2007.504</v>
      </c>
      <c r="AD407" s="42"/>
      <c r="AE407" s="12"/>
    </row>
    <row r="408" spans="1:31" s="46" customFormat="1" ht="21">
      <c r="A408" s="42" t="s">
        <v>0</v>
      </c>
      <c r="B408" s="42"/>
      <c r="C408" s="45"/>
      <c r="D408" s="45"/>
      <c r="E408" s="45"/>
      <c r="F408" s="47"/>
      <c r="G408" s="42"/>
      <c r="H408" s="42"/>
      <c r="I408" s="44"/>
      <c r="J408" s="44">
        <f t="shared" si="164"/>
        <v>0</v>
      </c>
      <c r="K408" s="42"/>
      <c r="L408" s="42">
        <f t="shared" si="156"/>
        <v>0</v>
      </c>
      <c r="M408" s="42">
        <v>2</v>
      </c>
      <c r="N408" s="42" t="s">
        <v>60</v>
      </c>
      <c r="O408" s="104" t="s">
        <v>446</v>
      </c>
      <c r="P408" s="45">
        <v>2</v>
      </c>
      <c r="Q408" s="104">
        <v>48</v>
      </c>
      <c r="R408" s="100">
        <f>+Q408*100/(Q407+Q408)</f>
        <v>50</v>
      </c>
      <c r="S408" s="42">
        <v>7550</v>
      </c>
      <c r="T408" s="12">
        <f t="shared" si="165"/>
        <v>362400</v>
      </c>
      <c r="U408" s="102" t="s">
        <v>83</v>
      </c>
      <c r="V408" s="12">
        <f>+T408*0.18</f>
        <v>65232</v>
      </c>
      <c r="W408" s="12">
        <f t="shared" si="166"/>
        <v>297168</v>
      </c>
      <c r="X408" s="116"/>
      <c r="Y408" s="117">
        <f>+L407*(R408/100)+W408</f>
        <v>669168</v>
      </c>
      <c r="Z408" s="12"/>
      <c r="AA408" s="12">
        <f t="shared" si="160"/>
        <v>669168</v>
      </c>
      <c r="AB408" s="12">
        <v>0.02</v>
      </c>
      <c r="AC408" s="12">
        <f t="shared" si="161"/>
        <v>133.83360000000002</v>
      </c>
      <c r="AD408" s="42"/>
      <c r="AE408" s="12"/>
    </row>
    <row r="409" spans="1:31" s="46" customFormat="1" ht="21">
      <c r="A409" s="42"/>
      <c r="B409" s="42"/>
      <c r="C409" s="45"/>
      <c r="D409" s="45"/>
      <c r="E409" s="45"/>
      <c r="F409" s="47"/>
      <c r="G409" s="42"/>
      <c r="H409" s="42"/>
      <c r="I409" s="44"/>
      <c r="J409" s="44">
        <f t="shared" si="164"/>
        <v>0</v>
      </c>
      <c r="K409" s="42"/>
      <c r="L409" s="42">
        <f t="shared" si="156"/>
        <v>0</v>
      </c>
      <c r="M409" s="42"/>
      <c r="N409" s="42"/>
      <c r="O409" s="42"/>
      <c r="P409" s="31"/>
      <c r="Q409" s="42"/>
      <c r="R409" s="42"/>
      <c r="S409" s="42"/>
      <c r="T409" s="12">
        <f t="shared" si="165"/>
        <v>0</v>
      </c>
      <c r="U409" s="45"/>
      <c r="V409" s="12">
        <f>+T409*0</f>
        <v>0</v>
      </c>
      <c r="W409" s="12">
        <f t="shared" si="166"/>
        <v>0</v>
      </c>
      <c r="X409" s="116"/>
      <c r="Y409" s="117">
        <f t="shared" si="162"/>
        <v>0</v>
      </c>
      <c r="Z409" s="12"/>
      <c r="AA409" s="12">
        <f aca="true" t="shared" si="167" ref="AA409:AA447">+Y409-Z409</f>
        <v>0</v>
      </c>
      <c r="AB409" s="12"/>
      <c r="AC409" s="12">
        <f aca="true" t="shared" si="168" ref="AC409:AC447">+AA409*AB409/100</f>
        <v>0</v>
      </c>
      <c r="AD409" s="42"/>
      <c r="AE409" s="12"/>
    </row>
    <row r="410" spans="1:31" s="46" customFormat="1" ht="21">
      <c r="A410" s="42" t="s">
        <v>0</v>
      </c>
      <c r="B410" s="42" t="s">
        <v>1</v>
      </c>
      <c r="C410" s="45" t="s">
        <v>1667</v>
      </c>
      <c r="D410" s="51" t="s">
        <v>1668</v>
      </c>
      <c r="E410" s="45" t="s">
        <v>909</v>
      </c>
      <c r="F410" s="47" t="s">
        <v>137</v>
      </c>
      <c r="G410" s="42"/>
      <c r="H410" s="42"/>
      <c r="I410" s="44">
        <v>25.1</v>
      </c>
      <c r="J410" s="44">
        <f t="shared" si="164"/>
        <v>25.1</v>
      </c>
      <c r="K410" s="42">
        <v>12000</v>
      </c>
      <c r="L410" s="42">
        <f aca="true" t="shared" si="169" ref="L410:L481">+K410*J410</f>
        <v>301200</v>
      </c>
      <c r="M410" s="42"/>
      <c r="N410" s="42" t="s">
        <v>62</v>
      </c>
      <c r="O410" s="104" t="s">
        <v>446</v>
      </c>
      <c r="P410" s="45">
        <v>2</v>
      </c>
      <c r="Q410" s="104">
        <v>48</v>
      </c>
      <c r="R410" s="104"/>
      <c r="S410" s="42">
        <v>6750</v>
      </c>
      <c r="T410" s="12">
        <f t="shared" si="165"/>
        <v>324000</v>
      </c>
      <c r="U410" s="45" t="s">
        <v>193</v>
      </c>
      <c r="V410" s="12">
        <f>+T410*0.01</f>
        <v>3240</v>
      </c>
      <c r="W410" s="12">
        <f t="shared" si="166"/>
        <v>320760</v>
      </c>
      <c r="X410" s="116"/>
      <c r="Y410" s="117">
        <f t="shared" si="162"/>
        <v>621960</v>
      </c>
      <c r="Z410" s="12"/>
      <c r="AA410" s="12">
        <f t="shared" si="167"/>
        <v>621960</v>
      </c>
      <c r="AB410" s="12">
        <v>0.02</v>
      </c>
      <c r="AC410" s="12">
        <f t="shared" si="168"/>
        <v>124.39200000000001</v>
      </c>
      <c r="AD410" s="42"/>
      <c r="AE410" s="12"/>
    </row>
    <row r="411" spans="1:31" s="46" customFormat="1" ht="21">
      <c r="A411" s="42"/>
      <c r="B411" s="42"/>
      <c r="C411" s="45"/>
      <c r="D411" s="45"/>
      <c r="E411" s="45"/>
      <c r="F411" s="47"/>
      <c r="G411" s="42"/>
      <c r="H411" s="42"/>
      <c r="I411" s="44"/>
      <c r="J411" s="44">
        <f t="shared" si="164"/>
        <v>0</v>
      </c>
      <c r="K411" s="42"/>
      <c r="L411" s="42">
        <f t="shared" si="169"/>
        <v>0</v>
      </c>
      <c r="M411" s="42"/>
      <c r="N411" s="42"/>
      <c r="O411" s="100"/>
      <c r="P411" s="31"/>
      <c r="Q411" s="100"/>
      <c r="R411" s="100"/>
      <c r="S411" s="42"/>
      <c r="T411" s="12">
        <f t="shared" si="165"/>
        <v>0</v>
      </c>
      <c r="U411" s="45"/>
      <c r="V411" s="12">
        <f>+T411*0</f>
        <v>0</v>
      </c>
      <c r="W411" s="12">
        <f t="shared" si="166"/>
        <v>0</v>
      </c>
      <c r="X411" s="116"/>
      <c r="Y411" s="117">
        <f aca="true" t="shared" si="170" ref="Y411:Y449">+L411+W411</f>
        <v>0</v>
      </c>
      <c r="Z411" s="12"/>
      <c r="AA411" s="12">
        <f t="shared" si="167"/>
        <v>0</v>
      </c>
      <c r="AB411" s="12"/>
      <c r="AC411" s="12">
        <f t="shared" si="168"/>
        <v>0</v>
      </c>
      <c r="AD411" s="42"/>
      <c r="AE411" s="12"/>
    </row>
    <row r="412" spans="1:31" s="46" customFormat="1" ht="21">
      <c r="A412" s="42"/>
      <c r="B412" s="42"/>
      <c r="C412" s="45"/>
      <c r="D412" s="45"/>
      <c r="E412" s="45"/>
      <c r="F412" s="47"/>
      <c r="G412" s="42"/>
      <c r="H412" s="42"/>
      <c r="I412" s="44"/>
      <c r="J412" s="44">
        <f t="shared" si="164"/>
        <v>0</v>
      </c>
      <c r="K412" s="42"/>
      <c r="L412" s="42">
        <f t="shared" si="169"/>
        <v>0</v>
      </c>
      <c r="M412" s="42"/>
      <c r="N412" s="42"/>
      <c r="O412" s="42"/>
      <c r="P412" s="31"/>
      <c r="Q412" s="42"/>
      <c r="R412" s="42"/>
      <c r="S412" s="42"/>
      <c r="T412" s="12">
        <f t="shared" si="165"/>
        <v>0</v>
      </c>
      <c r="U412" s="45"/>
      <c r="V412" s="12">
        <f>+T412*0</f>
        <v>0</v>
      </c>
      <c r="W412" s="12">
        <f t="shared" si="166"/>
        <v>0</v>
      </c>
      <c r="X412" s="116"/>
      <c r="Y412" s="117">
        <f t="shared" si="170"/>
        <v>0</v>
      </c>
      <c r="Z412" s="12"/>
      <c r="AA412" s="12">
        <f t="shared" si="167"/>
        <v>0</v>
      </c>
      <c r="AB412" s="12"/>
      <c r="AC412" s="12">
        <f t="shared" si="168"/>
        <v>0</v>
      </c>
      <c r="AD412" s="42"/>
      <c r="AE412" s="12"/>
    </row>
    <row r="413" spans="1:31" s="46" customFormat="1" ht="21">
      <c r="A413" s="42" t="s">
        <v>0</v>
      </c>
      <c r="B413" s="42" t="s">
        <v>1</v>
      </c>
      <c r="C413" s="45" t="s">
        <v>1669</v>
      </c>
      <c r="D413" s="51" t="s">
        <v>1670</v>
      </c>
      <c r="E413" s="29" t="s">
        <v>907</v>
      </c>
      <c r="F413" s="47" t="s">
        <v>140</v>
      </c>
      <c r="G413" s="42"/>
      <c r="H413" s="42"/>
      <c r="I413" s="44">
        <v>21.4</v>
      </c>
      <c r="J413" s="44">
        <f t="shared" si="164"/>
        <v>21.4</v>
      </c>
      <c r="K413" s="42">
        <v>8000</v>
      </c>
      <c r="L413" s="42">
        <f t="shared" si="169"/>
        <v>171200</v>
      </c>
      <c r="M413" s="42"/>
      <c r="N413" s="42"/>
      <c r="O413" s="100"/>
      <c r="P413" s="45"/>
      <c r="Q413" s="100"/>
      <c r="R413" s="100"/>
      <c r="S413" s="42"/>
      <c r="T413" s="12">
        <f t="shared" si="165"/>
        <v>0</v>
      </c>
      <c r="U413" s="45"/>
      <c r="V413" s="12">
        <f>+T413*0</f>
        <v>0</v>
      </c>
      <c r="W413" s="12">
        <f t="shared" si="166"/>
        <v>0</v>
      </c>
      <c r="X413" s="116"/>
      <c r="Y413" s="117">
        <f t="shared" si="170"/>
        <v>171200</v>
      </c>
      <c r="Z413" s="12"/>
      <c r="AA413" s="12">
        <f t="shared" si="167"/>
        <v>171200</v>
      </c>
      <c r="AB413" s="12">
        <v>0.3</v>
      </c>
      <c r="AC413" s="12">
        <f t="shared" si="168"/>
        <v>513.6</v>
      </c>
      <c r="AD413" s="42"/>
      <c r="AE413" s="12"/>
    </row>
    <row r="414" spans="1:31" s="46" customFormat="1" ht="21">
      <c r="A414" s="42"/>
      <c r="B414" s="42"/>
      <c r="C414" s="45"/>
      <c r="D414" s="45"/>
      <c r="E414" s="45"/>
      <c r="F414" s="47"/>
      <c r="G414" s="42"/>
      <c r="H414" s="42"/>
      <c r="I414" s="44"/>
      <c r="J414" s="44">
        <f t="shared" si="164"/>
        <v>0</v>
      </c>
      <c r="K414" s="42"/>
      <c r="L414" s="42">
        <f t="shared" si="169"/>
        <v>0</v>
      </c>
      <c r="M414" s="42"/>
      <c r="N414" s="42"/>
      <c r="O414" s="42"/>
      <c r="P414" s="31"/>
      <c r="Q414" s="42"/>
      <c r="R414" s="42"/>
      <c r="S414" s="42"/>
      <c r="T414" s="12">
        <f t="shared" si="165"/>
        <v>0</v>
      </c>
      <c r="U414" s="45"/>
      <c r="V414" s="12">
        <f>+T414*0</f>
        <v>0</v>
      </c>
      <c r="W414" s="12">
        <f t="shared" si="166"/>
        <v>0</v>
      </c>
      <c r="X414" s="116"/>
      <c r="Y414" s="117">
        <f t="shared" si="170"/>
        <v>0</v>
      </c>
      <c r="Z414" s="12"/>
      <c r="AA414" s="12">
        <f t="shared" si="167"/>
        <v>0</v>
      </c>
      <c r="AB414" s="12"/>
      <c r="AC414" s="12">
        <f t="shared" si="168"/>
        <v>0</v>
      </c>
      <c r="AD414" s="42"/>
      <c r="AE414" s="12"/>
    </row>
    <row r="415" spans="1:31" s="46" customFormat="1" ht="21">
      <c r="A415" s="42"/>
      <c r="B415" s="42"/>
      <c r="C415" s="45"/>
      <c r="D415" s="45"/>
      <c r="E415" s="45"/>
      <c r="F415" s="47"/>
      <c r="G415" s="42"/>
      <c r="H415" s="42"/>
      <c r="I415" s="44"/>
      <c r="J415" s="44">
        <f t="shared" si="164"/>
        <v>0</v>
      </c>
      <c r="K415" s="42"/>
      <c r="L415" s="42">
        <f t="shared" si="169"/>
        <v>0</v>
      </c>
      <c r="M415" s="42"/>
      <c r="N415" s="42"/>
      <c r="O415" s="42"/>
      <c r="P415" s="31"/>
      <c r="Q415" s="42"/>
      <c r="R415" s="42"/>
      <c r="S415" s="42"/>
      <c r="T415" s="12">
        <f t="shared" si="165"/>
        <v>0</v>
      </c>
      <c r="U415" s="45"/>
      <c r="V415" s="12">
        <f>+T415*0</f>
        <v>0</v>
      </c>
      <c r="W415" s="12">
        <f t="shared" si="166"/>
        <v>0</v>
      </c>
      <c r="X415" s="116"/>
      <c r="Y415" s="117">
        <f t="shared" si="170"/>
        <v>0</v>
      </c>
      <c r="Z415" s="12"/>
      <c r="AA415" s="12">
        <f t="shared" si="167"/>
        <v>0</v>
      </c>
      <c r="AB415" s="12"/>
      <c r="AC415" s="12">
        <f t="shared" si="168"/>
        <v>0</v>
      </c>
      <c r="AD415" s="42"/>
      <c r="AE415" s="12"/>
    </row>
    <row r="416" spans="1:31" s="46" customFormat="1" ht="21">
      <c r="A416" s="42" t="s">
        <v>0</v>
      </c>
      <c r="B416" s="42" t="s">
        <v>1</v>
      </c>
      <c r="C416" s="45" t="s">
        <v>1671</v>
      </c>
      <c r="D416" s="51" t="s">
        <v>1672</v>
      </c>
      <c r="E416" s="29" t="s">
        <v>907</v>
      </c>
      <c r="F416" s="47" t="s">
        <v>137</v>
      </c>
      <c r="G416" s="42"/>
      <c r="H416" s="42"/>
      <c r="I416" s="44">
        <v>40.2</v>
      </c>
      <c r="J416" s="44">
        <f t="shared" si="164"/>
        <v>40.2</v>
      </c>
      <c r="K416" s="42">
        <v>12000</v>
      </c>
      <c r="L416" s="42">
        <f t="shared" si="169"/>
        <v>482400.00000000006</v>
      </c>
      <c r="M416" s="42"/>
      <c r="N416" s="42" t="s">
        <v>64</v>
      </c>
      <c r="O416" s="104" t="s">
        <v>446</v>
      </c>
      <c r="P416" s="45">
        <v>2</v>
      </c>
      <c r="Q416" s="104">
        <v>104</v>
      </c>
      <c r="R416" s="100"/>
      <c r="S416" s="42">
        <v>6550</v>
      </c>
      <c r="T416" s="12">
        <f t="shared" si="165"/>
        <v>681200</v>
      </c>
      <c r="U416" s="45" t="s">
        <v>150</v>
      </c>
      <c r="V416" s="12">
        <f>+T416*0.04</f>
        <v>27248</v>
      </c>
      <c r="W416" s="12">
        <f t="shared" si="166"/>
        <v>653952</v>
      </c>
      <c r="X416" s="116"/>
      <c r="Y416" s="117">
        <f t="shared" si="170"/>
        <v>1136352</v>
      </c>
      <c r="Z416" s="12"/>
      <c r="AA416" s="12">
        <f t="shared" si="167"/>
        <v>1136352</v>
      </c>
      <c r="AB416" s="12">
        <v>0.02</v>
      </c>
      <c r="AC416" s="12">
        <f t="shared" si="168"/>
        <v>227.2704</v>
      </c>
      <c r="AD416" s="42"/>
      <c r="AE416" s="12"/>
    </row>
    <row r="417" spans="1:31" s="46" customFormat="1" ht="21">
      <c r="A417" s="42"/>
      <c r="B417" s="42"/>
      <c r="C417" s="45"/>
      <c r="D417" s="45"/>
      <c r="E417" s="45"/>
      <c r="F417" s="47"/>
      <c r="G417" s="42"/>
      <c r="H417" s="42"/>
      <c r="I417" s="44"/>
      <c r="J417" s="44">
        <f t="shared" si="164"/>
        <v>0</v>
      </c>
      <c r="K417" s="42"/>
      <c r="L417" s="42">
        <f t="shared" si="169"/>
        <v>0</v>
      </c>
      <c r="M417" s="42"/>
      <c r="N417" s="42"/>
      <c r="O417" s="100"/>
      <c r="P417" s="31"/>
      <c r="Q417" s="100"/>
      <c r="R417" s="100"/>
      <c r="S417" s="42"/>
      <c r="T417" s="12">
        <f t="shared" si="165"/>
        <v>0</v>
      </c>
      <c r="U417" s="45"/>
      <c r="V417" s="12">
        <f>+T417*0</f>
        <v>0</v>
      </c>
      <c r="W417" s="12">
        <f t="shared" si="166"/>
        <v>0</v>
      </c>
      <c r="X417" s="116"/>
      <c r="Y417" s="117">
        <f t="shared" si="170"/>
        <v>0</v>
      </c>
      <c r="Z417" s="12"/>
      <c r="AA417" s="12">
        <f t="shared" si="167"/>
        <v>0</v>
      </c>
      <c r="AB417" s="12"/>
      <c r="AC417" s="12">
        <f t="shared" si="168"/>
        <v>0</v>
      </c>
      <c r="AD417" s="42"/>
      <c r="AE417" s="12"/>
    </row>
    <row r="418" spans="1:31" s="46" customFormat="1" ht="21">
      <c r="A418" s="42"/>
      <c r="B418" s="42"/>
      <c r="C418" s="45"/>
      <c r="D418" s="45"/>
      <c r="E418" s="45"/>
      <c r="F418" s="47"/>
      <c r="G418" s="42"/>
      <c r="H418" s="42"/>
      <c r="I418" s="44"/>
      <c r="J418" s="44">
        <f t="shared" si="164"/>
        <v>0</v>
      </c>
      <c r="K418" s="42"/>
      <c r="L418" s="42">
        <f t="shared" si="169"/>
        <v>0</v>
      </c>
      <c r="M418" s="42"/>
      <c r="N418" s="42"/>
      <c r="O418" s="42"/>
      <c r="P418" s="31"/>
      <c r="Q418" s="42"/>
      <c r="R418" s="42"/>
      <c r="S418" s="42"/>
      <c r="T418" s="12">
        <f t="shared" si="165"/>
        <v>0</v>
      </c>
      <c r="U418" s="45"/>
      <c r="V418" s="12">
        <f>+T418*0</f>
        <v>0</v>
      </c>
      <c r="W418" s="12">
        <f t="shared" si="166"/>
        <v>0</v>
      </c>
      <c r="X418" s="116"/>
      <c r="Y418" s="117">
        <f t="shared" si="170"/>
        <v>0</v>
      </c>
      <c r="Z418" s="12"/>
      <c r="AA418" s="12">
        <f t="shared" si="167"/>
        <v>0</v>
      </c>
      <c r="AB418" s="12"/>
      <c r="AC418" s="12">
        <f t="shared" si="168"/>
        <v>0</v>
      </c>
      <c r="AD418" s="42"/>
      <c r="AE418" s="12"/>
    </row>
    <row r="419" spans="1:31" s="46" customFormat="1" ht="21">
      <c r="A419" s="42" t="s">
        <v>0</v>
      </c>
      <c r="B419" s="42" t="s">
        <v>1</v>
      </c>
      <c r="C419" s="45" t="s">
        <v>1673</v>
      </c>
      <c r="D419" s="45" t="s">
        <v>1824</v>
      </c>
      <c r="E419" s="29" t="s">
        <v>907</v>
      </c>
      <c r="F419" s="47" t="s">
        <v>167</v>
      </c>
      <c r="G419" s="42"/>
      <c r="H419" s="42"/>
      <c r="I419" s="44">
        <v>30.4</v>
      </c>
      <c r="J419" s="44">
        <f t="shared" si="164"/>
        <v>30.4</v>
      </c>
      <c r="K419" s="42">
        <v>25000</v>
      </c>
      <c r="L419" s="42">
        <f t="shared" si="169"/>
        <v>760000</v>
      </c>
      <c r="M419" s="42">
        <v>1</v>
      </c>
      <c r="N419" s="42" t="s">
        <v>60</v>
      </c>
      <c r="O419" s="104" t="s">
        <v>446</v>
      </c>
      <c r="P419" s="45">
        <v>2</v>
      </c>
      <c r="Q419" s="104">
        <v>40</v>
      </c>
      <c r="R419" s="100">
        <f>+Q419*100/(Q419+Q420)</f>
        <v>50</v>
      </c>
      <c r="S419" s="42">
        <v>7550</v>
      </c>
      <c r="T419" s="12">
        <f t="shared" si="165"/>
        <v>302000</v>
      </c>
      <c r="U419" s="102" t="s">
        <v>81</v>
      </c>
      <c r="V419" s="12">
        <f>+T419*0.12</f>
        <v>36240</v>
      </c>
      <c r="W419" s="12">
        <f t="shared" si="166"/>
        <v>265760</v>
      </c>
      <c r="X419" s="116"/>
      <c r="Y419" s="117">
        <f>+L419*(R419/100)+W419</f>
        <v>645760</v>
      </c>
      <c r="Z419" s="12"/>
      <c r="AA419" s="12">
        <f t="shared" si="167"/>
        <v>645760</v>
      </c>
      <c r="AB419" s="12">
        <v>0.02</v>
      </c>
      <c r="AC419" s="12">
        <f t="shared" si="168"/>
        <v>129.15200000000002</v>
      </c>
      <c r="AD419" s="42"/>
      <c r="AE419" s="12"/>
    </row>
    <row r="420" spans="1:31" s="46" customFormat="1" ht="21">
      <c r="A420" s="42" t="s">
        <v>0</v>
      </c>
      <c r="B420" s="42"/>
      <c r="C420" s="45"/>
      <c r="D420" s="45"/>
      <c r="E420" s="45"/>
      <c r="F420" s="47"/>
      <c r="G420" s="42"/>
      <c r="H420" s="42"/>
      <c r="I420" s="44"/>
      <c r="J420" s="44">
        <f t="shared" si="164"/>
        <v>0</v>
      </c>
      <c r="K420" s="42"/>
      <c r="L420" s="42">
        <f t="shared" si="169"/>
        <v>0</v>
      </c>
      <c r="M420" s="42">
        <v>2</v>
      </c>
      <c r="N420" s="42" t="s">
        <v>60</v>
      </c>
      <c r="O420" s="104" t="s">
        <v>446</v>
      </c>
      <c r="P420" s="45">
        <v>3</v>
      </c>
      <c r="Q420" s="104">
        <v>40</v>
      </c>
      <c r="R420" s="100">
        <f>+Q420*100/(Q419+Q420)</f>
        <v>50</v>
      </c>
      <c r="S420" s="42">
        <v>7550</v>
      </c>
      <c r="T420" s="12">
        <f t="shared" si="165"/>
        <v>302000</v>
      </c>
      <c r="U420" s="102" t="s">
        <v>81</v>
      </c>
      <c r="V420" s="12">
        <f>+T420*0.12</f>
        <v>36240</v>
      </c>
      <c r="W420" s="12">
        <f t="shared" si="166"/>
        <v>265760</v>
      </c>
      <c r="X420" s="116"/>
      <c r="Y420" s="117">
        <f>+L419*(R420/100)+W420</f>
        <v>645760</v>
      </c>
      <c r="Z420" s="12"/>
      <c r="AA420" s="12">
        <f t="shared" si="167"/>
        <v>645760</v>
      </c>
      <c r="AB420" s="12">
        <v>0.3</v>
      </c>
      <c r="AC420" s="12">
        <f t="shared" si="168"/>
        <v>1937.28</v>
      </c>
      <c r="AD420" s="42"/>
      <c r="AE420" s="12"/>
    </row>
    <row r="421" spans="1:31" s="46" customFormat="1" ht="21">
      <c r="A421" s="42"/>
      <c r="B421" s="42"/>
      <c r="C421" s="45"/>
      <c r="D421" s="45"/>
      <c r="E421" s="45"/>
      <c r="F421" s="47"/>
      <c r="G421" s="42"/>
      <c r="H421" s="42"/>
      <c r="I421" s="44"/>
      <c r="J421" s="44">
        <f t="shared" si="164"/>
        <v>0</v>
      </c>
      <c r="K421" s="42"/>
      <c r="L421" s="42">
        <f t="shared" si="169"/>
        <v>0</v>
      </c>
      <c r="M421" s="42"/>
      <c r="N421" s="42"/>
      <c r="O421" s="42"/>
      <c r="P421" s="31"/>
      <c r="Q421" s="42"/>
      <c r="R421" s="42"/>
      <c r="S421" s="42"/>
      <c r="T421" s="12">
        <f t="shared" si="165"/>
        <v>0</v>
      </c>
      <c r="U421" s="45"/>
      <c r="V421" s="12">
        <f>+T421*0</f>
        <v>0</v>
      </c>
      <c r="W421" s="12">
        <f t="shared" si="166"/>
        <v>0</v>
      </c>
      <c r="X421" s="116"/>
      <c r="Y421" s="117">
        <f t="shared" si="170"/>
        <v>0</v>
      </c>
      <c r="Z421" s="12"/>
      <c r="AA421" s="12">
        <f t="shared" si="167"/>
        <v>0</v>
      </c>
      <c r="AB421" s="12"/>
      <c r="AC421" s="12">
        <f t="shared" si="168"/>
        <v>0</v>
      </c>
      <c r="AD421" s="42"/>
      <c r="AE421" s="12"/>
    </row>
    <row r="422" spans="1:31" s="46" customFormat="1" ht="21">
      <c r="A422" s="42" t="s">
        <v>0</v>
      </c>
      <c r="B422" s="42" t="s">
        <v>1</v>
      </c>
      <c r="C422" s="45" t="s">
        <v>1674</v>
      </c>
      <c r="D422" s="45" t="s">
        <v>1676</v>
      </c>
      <c r="E422" s="30" t="s">
        <v>908</v>
      </c>
      <c r="F422" s="47" t="s">
        <v>137</v>
      </c>
      <c r="G422" s="42"/>
      <c r="H422" s="42"/>
      <c r="I422" s="44">
        <v>90.4</v>
      </c>
      <c r="J422" s="44">
        <f t="shared" si="164"/>
        <v>90.4</v>
      </c>
      <c r="K422" s="42">
        <v>15000</v>
      </c>
      <c r="L422" s="42">
        <f t="shared" si="169"/>
        <v>1356000</v>
      </c>
      <c r="M422" s="42"/>
      <c r="N422" s="42" t="s">
        <v>64</v>
      </c>
      <c r="O422" s="104" t="s">
        <v>446</v>
      </c>
      <c r="P422" s="45">
        <v>2</v>
      </c>
      <c r="Q422" s="104">
        <v>96</v>
      </c>
      <c r="R422" s="100"/>
      <c r="S422" s="42">
        <v>6550</v>
      </c>
      <c r="T422" s="12">
        <f t="shared" si="165"/>
        <v>628800</v>
      </c>
      <c r="U422" s="102" t="s">
        <v>78</v>
      </c>
      <c r="V422" s="12">
        <f>+T422*0.24</f>
        <v>150912</v>
      </c>
      <c r="W422" s="12">
        <f t="shared" si="166"/>
        <v>477888</v>
      </c>
      <c r="X422" s="116"/>
      <c r="Y422" s="117">
        <f t="shared" si="170"/>
        <v>1833888</v>
      </c>
      <c r="Z422" s="12"/>
      <c r="AA422" s="12">
        <f t="shared" si="167"/>
        <v>1833888</v>
      </c>
      <c r="AB422" s="12">
        <v>0.02</v>
      </c>
      <c r="AC422" s="12">
        <f t="shared" si="168"/>
        <v>366.7776</v>
      </c>
      <c r="AD422" s="42"/>
      <c r="AE422" s="12"/>
    </row>
    <row r="423" spans="1:31" s="46" customFormat="1" ht="21">
      <c r="A423" s="42" t="s">
        <v>0</v>
      </c>
      <c r="B423" s="42" t="s">
        <v>1</v>
      </c>
      <c r="C423" s="45" t="s">
        <v>1675</v>
      </c>
      <c r="D423" s="45" t="s">
        <v>1677</v>
      </c>
      <c r="E423" s="29" t="s">
        <v>907</v>
      </c>
      <c r="F423" s="47" t="s">
        <v>137</v>
      </c>
      <c r="G423" s="42"/>
      <c r="H423" s="42"/>
      <c r="I423" s="44">
        <v>23.1</v>
      </c>
      <c r="J423" s="44">
        <f t="shared" si="164"/>
        <v>23.1</v>
      </c>
      <c r="K423" s="42">
        <v>15000</v>
      </c>
      <c r="L423" s="42">
        <f t="shared" si="169"/>
        <v>346500</v>
      </c>
      <c r="M423" s="42"/>
      <c r="N423" s="42" t="s">
        <v>62</v>
      </c>
      <c r="O423" s="104" t="s">
        <v>446</v>
      </c>
      <c r="P423" s="45">
        <v>2</v>
      </c>
      <c r="Q423" s="104">
        <v>60</v>
      </c>
      <c r="R423" s="104"/>
      <c r="S423" s="42">
        <v>6750</v>
      </c>
      <c r="T423" s="12">
        <f t="shared" si="165"/>
        <v>405000</v>
      </c>
      <c r="U423" s="102" t="s">
        <v>82</v>
      </c>
      <c r="V423" s="12">
        <f>+T423*0.16</f>
        <v>64800</v>
      </c>
      <c r="W423" s="12">
        <f t="shared" si="166"/>
        <v>340200</v>
      </c>
      <c r="X423" s="116"/>
      <c r="Y423" s="117">
        <f t="shared" si="170"/>
        <v>686700</v>
      </c>
      <c r="Z423" s="12"/>
      <c r="AA423" s="12">
        <f t="shared" si="167"/>
        <v>686700</v>
      </c>
      <c r="AB423" s="12">
        <v>0.02</v>
      </c>
      <c r="AC423" s="12">
        <f t="shared" si="168"/>
        <v>137.34</v>
      </c>
      <c r="AD423" s="42"/>
      <c r="AE423" s="12"/>
    </row>
    <row r="424" spans="1:31" s="46" customFormat="1" ht="21">
      <c r="A424" s="42"/>
      <c r="B424" s="42"/>
      <c r="C424" s="45"/>
      <c r="D424" s="45"/>
      <c r="E424" s="45"/>
      <c r="F424" s="47"/>
      <c r="G424" s="42"/>
      <c r="H424" s="42"/>
      <c r="I424" s="44"/>
      <c r="J424" s="44">
        <f t="shared" si="164"/>
        <v>0</v>
      </c>
      <c r="K424" s="42"/>
      <c r="L424" s="42">
        <f t="shared" si="169"/>
        <v>0</v>
      </c>
      <c r="M424" s="42"/>
      <c r="N424" s="42"/>
      <c r="O424" s="42"/>
      <c r="P424" s="31"/>
      <c r="Q424" s="42"/>
      <c r="R424" s="42"/>
      <c r="S424" s="42"/>
      <c r="T424" s="12">
        <f t="shared" si="165"/>
        <v>0</v>
      </c>
      <c r="U424" s="45"/>
      <c r="V424" s="12">
        <f>+T424*0</f>
        <v>0</v>
      </c>
      <c r="W424" s="12">
        <f t="shared" si="166"/>
        <v>0</v>
      </c>
      <c r="X424" s="116"/>
      <c r="Y424" s="117">
        <f t="shared" si="170"/>
        <v>0</v>
      </c>
      <c r="Z424" s="12"/>
      <c r="AA424" s="12">
        <f t="shared" si="167"/>
        <v>0</v>
      </c>
      <c r="AB424" s="12"/>
      <c r="AC424" s="12">
        <f t="shared" si="168"/>
        <v>0</v>
      </c>
      <c r="AD424" s="42"/>
      <c r="AE424" s="12"/>
    </row>
    <row r="425" spans="1:31" s="46" customFormat="1" ht="21">
      <c r="A425" s="42"/>
      <c r="B425" s="42"/>
      <c r="C425" s="45"/>
      <c r="D425" s="45"/>
      <c r="E425" s="45"/>
      <c r="F425" s="47"/>
      <c r="G425" s="42"/>
      <c r="H425" s="42"/>
      <c r="I425" s="44"/>
      <c r="J425" s="44">
        <f t="shared" si="164"/>
        <v>0</v>
      </c>
      <c r="K425" s="42"/>
      <c r="L425" s="42">
        <f t="shared" si="169"/>
        <v>0</v>
      </c>
      <c r="M425" s="42"/>
      <c r="N425" s="42"/>
      <c r="O425" s="42"/>
      <c r="P425" s="31"/>
      <c r="Q425" s="42"/>
      <c r="R425" s="42"/>
      <c r="S425" s="42"/>
      <c r="T425" s="12">
        <f t="shared" si="165"/>
        <v>0</v>
      </c>
      <c r="U425" s="45"/>
      <c r="V425" s="12">
        <f>+T425*0</f>
        <v>0</v>
      </c>
      <c r="W425" s="12">
        <f t="shared" si="166"/>
        <v>0</v>
      </c>
      <c r="X425" s="116"/>
      <c r="Y425" s="117">
        <f t="shared" si="170"/>
        <v>0</v>
      </c>
      <c r="Z425" s="12"/>
      <c r="AA425" s="12">
        <f t="shared" si="167"/>
        <v>0</v>
      </c>
      <c r="AB425" s="12"/>
      <c r="AC425" s="12">
        <f t="shared" si="168"/>
        <v>0</v>
      </c>
      <c r="AD425" s="42"/>
      <c r="AE425" s="12"/>
    </row>
    <row r="426" spans="1:31" s="46" customFormat="1" ht="21">
      <c r="A426" s="42" t="s">
        <v>0</v>
      </c>
      <c r="B426" s="42" t="s">
        <v>1</v>
      </c>
      <c r="C426" s="45" t="s">
        <v>1678</v>
      </c>
      <c r="D426" s="51" t="s">
        <v>1679</v>
      </c>
      <c r="E426" s="10" t="s">
        <v>909</v>
      </c>
      <c r="F426" s="47" t="s">
        <v>137</v>
      </c>
      <c r="G426" s="42"/>
      <c r="H426" s="42"/>
      <c r="I426" s="44">
        <v>18.5</v>
      </c>
      <c r="J426" s="44">
        <f t="shared" si="164"/>
        <v>18.5</v>
      </c>
      <c r="K426" s="42">
        <v>37500</v>
      </c>
      <c r="L426" s="42">
        <f t="shared" si="169"/>
        <v>693750</v>
      </c>
      <c r="M426" s="42"/>
      <c r="N426" s="42" t="s">
        <v>60</v>
      </c>
      <c r="O426" s="104" t="s">
        <v>446</v>
      </c>
      <c r="P426" s="45">
        <v>2</v>
      </c>
      <c r="Q426" s="104">
        <v>180</v>
      </c>
      <c r="R426" s="100"/>
      <c r="S426" s="42">
        <v>7550</v>
      </c>
      <c r="T426" s="12">
        <f t="shared" si="165"/>
        <v>1359000</v>
      </c>
      <c r="U426" s="45" t="s">
        <v>150</v>
      </c>
      <c r="V426" s="12">
        <f>+T426*0.04</f>
        <v>54360</v>
      </c>
      <c r="W426" s="12">
        <f t="shared" si="166"/>
        <v>1304640</v>
      </c>
      <c r="X426" s="116"/>
      <c r="Y426" s="117">
        <f t="shared" si="170"/>
        <v>1998390</v>
      </c>
      <c r="Z426" s="12"/>
      <c r="AA426" s="12">
        <f t="shared" si="167"/>
        <v>1998390</v>
      </c>
      <c r="AB426" s="12">
        <v>0.02</v>
      </c>
      <c r="AC426" s="12">
        <f t="shared" si="168"/>
        <v>399.67800000000005</v>
      </c>
      <c r="AD426" s="42"/>
      <c r="AE426" s="12"/>
    </row>
    <row r="427" spans="1:31" s="46" customFormat="1" ht="21">
      <c r="A427" s="42"/>
      <c r="B427" s="42"/>
      <c r="C427" s="45"/>
      <c r="D427" s="45"/>
      <c r="E427" s="45"/>
      <c r="F427" s="47"/>
      <c r="G427" s="42"/>
      <c r="H427" s="42"/>
      <c r="I427" s="44"/>
      <c r="J427" s="44">
        <f t="shared" si="164"/>
        <v>0</v>
      </c>
      <c r="K427" s="42"/>
      <c r="L427" s="42">
        <f t="shared" si="169"/>
        <v>0</v>
      </c>
      <c r="M427" s="42"/>
      <c r="N427" s="42"/>
      <c r="O427" s="42"/>
      <c r="P427" s="31"/>
      <c r="Q427" s="42"/>
      <c r="R427" s="42"/>
      <c r="S427" s="42"/>
      <c r="T427" s="12">
        <f t="shared" si="165"/>
        <v>0</v>
      </c>
      <c r="U427" s="45"/>
      <c r="V427" s="12">
        <f>+T427*0</f>
        <v>0</v>
      </c>
      <c r="W427" s="12">
        <f t="shared" si="166"/>
        <v>0</v>
      </c>
      <c r="X427" s="116"/>
      <c r="Y427" s="117">
        <f t="shared" si="170"/>
        <v>0</v>
      </c>
      <c r="Z427" s="12"/>
      <c r="AA427" s="12">
        <f t="shared" si="167"/>
        <v>0</v>
      </c>
      <c r="AB427" s="12"/>
      <c r="AC427" s="12">
        <f t="shared" si="168"/>
        <v>0</v>
      </c>
      <c r="AD427" s="42"/>
      <c r="AE427" s="12"/>
    </row>
    <row r="428" spans="1:31" s="46" customFormat="1" ht="21">
      <c r="A428" s="42"/>
      <c r="B428" s="42"/>
      <c r="C428" s="45"/>
      <c r="D428" s="45"/>
      <c r="E428" s="45"/>
      <c r="F428" s="47"/>
      <c r="G428" s="42"/>
      <c r="H428" s="42"/>
      <c r="I428" s="44"/>
      <c r="J428" s="44">
        <f t="shared" si="164"/>
        <v>0</v>
      </c>
      <c r="K428" s="42"/>
      <c r="L428" s="42">
        <f t="shared" si="169"/>
        <v>0</v>
      </c>
      <c r="M428" s="42"/>
      <c r="N428" s="42"/>
      <c r="O428" s="42"/>
      <c r="P428" s="31"/>
      <c r="Q428" s="42"/>
      <c r="R428" s="42"/>
      <c r="S428" s="42"/>
      <c r="T428" s="12">
        <f t="shared" si="165"/>
        <v>0</v>
      </c>
      <c r="U428" s="45"/>
      <c r="V428" s="12">
        <f>+T428*0</f>
        <v>0</v>
      </c>
      <c r="W428" s="12">
        <f t="shared" si="166"/>
        <v>0</v>
      </c>
      <c r="X428" s="116"/>
      <c r="Y428" s="117">
        <f t="shared" si="170"/>
        <v>0</v>
      </c>
      <c r="Z428" s="12"/>
      <c r="AA428" s="12">
        <f t="shared" si="167"/>
        <v>0</v>
      </c>
      <c r="AB428" s="12"/>
      <c r="AC428" s="12">
        <f t="shared" si="168"/>
        <v>0</v>
      </c>
      <c r="AD428" s="42"/>
      <c r="AE428" s="12"/>
    </row>
    <row r="429" spans="1:31" s="46" customFormat="1" ht="21">
      <c r="A429" s="42" t="s">
        <v>0</v>
      </c>
      <c r="B429" s="42" t="s">
        <v>1</v>
      </c>
      <c r="C429" s="45" t="s">
        <v>1680</v>
      </c>
      <c r="D429" s="45" t="s">
        <v>1681</v>
      </c>
      <c r="E429" s="29" t="s">
        <v>907</v>
      </c>
      <c r="F429" s="47" t="s">
        <v>137</v>
      </c>
      <c r="G429" s="42"/>
      <c r="H429" s="42"/>
      <c r="I429" s="44">
        <v>20</v>
      </c>
      <c r="J429" s="44">
        <f t="shared" si="164"/>
        <v>20</v>
      </c>
      <c r="K429" s="42">
        <v>15000</v>
      </c>
      <c r="L429" s="42">
        <f t="shared" si="169"/>
        <v>300000</v>
      </c>
      <c r="M429" s="42"/>
      <c r="N429" s="42" t="s">
        <v>62</v>
      </c>
      <c r="O429" s="104" t="s">
        <v>446</v>
      </c>
      <c r="P429" s="45">
        <v>2</v>
      </c>
      <c r="Q429" s="104">
        <v>104</v>
      </c>
      <c r="R429" s="104"/>
      <c r="S429" s="42">
        <v>6750</v>
      </c>
      <c r="T429" s="12">
        <f t="shared" si="165"/>
        <v>702000</v>
      </c>
      <c r="U429" s="102" t="s">
        <v>76</v>
      </c>
      <c r="V429" s="12">
        <f>+T429*0.14</f>
        <v>98280.00000000001</v>
      </c>
      <c r="W429" s="12">
        <f t="shared" si="166"/>
        <v>603720</v>
      </c>
      <c r="X429" s="116"/>
      <c r="Y429" s="117">
        <f t="shared" si="170"/>
        <v>903720</v>
      </c>
      <c r="Z429" s="12"/>
      <c r="AA429" s="12">
        <f t="shared" si="167"/>
        <v>903720</v>
      </c>
      <c r="AB429" s="12">
        <v>0.02</v>
      </c>
      <c r="AC429" s="12">
        <f t="shared" si="168"/>
        <v>180.74400000000003</v>
      </c>
      <c r="AD429" s="42"/>
      <c r="AE429" s="12"/>
    </row>
    <row r="430" spans="1:31" s="46" customFormat="1" ht="21">
      <c r="A430" s="42"/>
      <c r="B430" s="42"/>
      <c r="C430" s="45"/>
      <c r="D430" s="45"/>
      <c r="E430" s="45"/>
      <c r="F430" s="47"/>
      <c r="G430" s="42"/>
      <c r="H430" s="42"/>
      <c r="I430" s="44"/>
      <c r="J430" s="44">
        <f t="shared" si="164"/>
        <v>0</v>
      </c>
      <c r="K430" s="42"/>
      <c r="L430" s="42">
        <f t="shared" si="169"/>
        <v>0</v>
      </c>
      <c r="M430" s="42"/>
      <c r="N430" s="42"/>
      <c r="O430" s="100"/>
      <c r="P430" s="31"/>
      <c r="Q430" s="100"/>
      <c r="R430" s="100"/>
      <c r="S430" s="42"/>
      <c r="T430" s="12">
        <f t="shared" si="165"/>
        <v>0</v>
      </c>
      <c r="U430" s="45"/>
      <c r="V430" s="12">
        <f>+T430*0</f>
        <v>0</v>
      </c>
      <c r="W430" s="12">
        <f t="shared" si="166"/>
        <v>0</v>
      </c>
      <c r="X430" s="116"/>
      <c r="Y430" s="117">
        <f t="shared" si="170"/>
        <v>0</v>
      </c>
      <c r="Z430" s="12"/>
      <c r="AA430" s="12">
        <f t="shared" si="167"/>
        <v>0</v>
      </c>
      <c r="AB430" s="12"/>
      <c r="AC430" s="12">
        <f t="shared" si="168"/>
        <v>0</v>
      </c>
      <c r="AD430" s="42"/>
      <c r="AE430" s="12"/>
    </row>
    <row r="431" spans="1:31" s="46" customFormat="1" ht="21">
      <c r="A431" s="42"/>
      <c r="B431" s="42"/>
      <c r="C431" s="45"/>
      <c r="D431" s="45"/>
      <c r="E431" s="45"/>
      <c r="F431" s="47"/>
      <c r="G431" s="42"/>
      <c r="H431" s="42"/>
      <c r="I431" s="44"/>
      <c r="J431" s="44">
        <f t="shared" si="164"/>
        <v>0</v>
      </c>
      <c r="K431" s="42"/>
      <c r="L431" s="42">
        <f t="shared" si="169"/>
        <v>0</v>
      </c>
      <c r="M431" s="42"/>
      <c r="N431" s="42"/>
      <c r="O431" s="42"/>
      <c r="P431" s="31"/>
      <c r="Q431" s="42"/>
      <c r="R431" s="42"/>
      <c r="S431" s="42"/>
      <c r="T431" s="12">
        <f t="shared" si="165"/>
        <v>0</v>
      </c>
      <c r="U431" s="45"/>
      <c r="V431" s="12">
        <f>+T431*0</f>
        <v>0</v>
      </c>
      <c r="W431" s="12">
        <f t="shared" si="166"/>
        <v>0</v>
      </c>
      <c r="X431" s="116"/>
      <c r="Y431" s="117">
        <f t="shared" si="170"/>
        <v>0</v>
      </c>
      <c r="Z431" s="12"/>
      <c r="AA431" s="12">
        <f t="shared" si="167"/>
        <v>0</v>
      </c>
      <c r="AB431" s="12"/>
      <c r="AC431" s="12">
        <f t="shared" si="168"/>
        <v>0</v>
      </c>
      <c r="AD431" s="42"/>
      <c r="AE431" s="12"/>
    </row>
    <row r="432" spans="1:31" s="46" customFormat="1" ht="21">
      <c r="A432" s="42" t="s">
        <v>0</v>
      </c>
      <c r="B432" s="42" t="s">
        <v>1</v>
      </c>
      <c r="C432" s="45" t="s">
        <v>1682</v>
      </c>
      <c r="D432" s="45" t="s">
        <v>1683</v>
      </c>
      <c r="E432" s="29" t="s">
        <v>907</v>
      </c>
      <c r="F432" s="47" t="s">
        <v>143</v>
      </c>
      <c r="G432" s="42">
        <v>1</v>
      </c>
      <c r="H432" s="42">
        <v>1</v>
      </c>
      <c r="I432" s="44">
        <v>63.6</v>
      </c>
      <c r="J432" s="44">
        <f aca="true" t="shared" si="171" ref="J432:J463">+I432+(H432*100)+(G432*400)</f>
        <v>563.6</v>
      </c>
      <c r="K432" s="42">
        <v>30500</v>
      </c>
      <c r="L432" s="42">
        <f t="shared" si="169"/>
        <v>17189800</v>
      </c>
      <c r="M432" s="42"/>
      <c r="N432" s="50" t="s">
        <v>1684</v>
      </c>
      <c r="O432" s="100"/>
      <c r="P432" s="45"/>
      <c r="Q432" s="100"/>
      <c r="R432" s="100"/>
      <c r="S432" s="42"/>
      <c r="T432" s="12">
        <f aca="true" t="shared" si="172" ref="T432:T463">+Q432*S432</f>
        <v>0</v>
      </c>
      <c r="U432" s="45"/>
      <c r="V432" s="12">
        <f>+T432*0</f>
        <v>0</v>
      </c>
      <c r="W432" s="12">
        <f aca="true" t="shared" si="173" ref="W432:W463">+T432-V432</f>
        <v>0</v>
      </c>
      <c r="X432" s="116"/>
      <c r="Y432" s="117">
        <f t="shared" si="170"/>
        <v>17189800</v>
      </c>
      <c r="Z432" s="12"/>
      <c r="AA432" s="12">
        <f t="shared" si="167"/>
        <v>17189800</v>
      </c>
      <c r="AB432" s="12">
        <v>0.3</v>
      </c>
      <c r="AC432" s="12">
        <f t="shared" si="168"/>
        <v>51569.4</v>
      </c>
      <c r="AD432" s="42"/>
      <c r="AE432" s="12"/>
    </row>
    <row r="433" spans="1:31" s="46" customFormat="1" ht="21">
      <c r="A433" s="42"/>
      <c r="B433" s="42"/>
      <c r="C433" s="45"/>
      <c r="D433" s="45"/>
      <c r="E433" s="45"/>
      <c r="F433" s="47"/>
      <c r="G433" s="42"/>
      <c r="H433" s="42"/>
      <c r="I433" s="44"/>
      <c r="J433" s="44">
        <f t="shared" si="171"/>
        <v>0</v>
      </c>
      <c r="K433" s="42"/>
      <c r="L433" s="42">
        <f t="shared" si="169"/>
        <v>0</v>
      </c>
      <c r="M433" s="42"/>
      <c r="N433" s="42"/>
      <c r="O433" s="100"/>
      <c r="P433" s="31"/>
      <c r="Q433" s="100"/>
      <c r="R433" s="100"/>
      <c r="S433" s="42"/>
      <c r="T433" s="12">
        <f t="shared" si="172"/>
        <v>0</v>
      </c>
      <c r="U433" s="45"/>
      <c r="V433" s="12">
        <f>+T433*0</f>
        <v>0</v>
      </c>
      <c r="W433" s="12">
        <f t="shared" si="173"/>
        <v>0</v>
      </c>
      <c r="X433" s="116"/>
      <c r="Y433" s="117">
        <f t="shared" si="170"/>
        <v>0</v>
      </c>
      <c r="Z433" s="12"/>
      <c r="AA433" s="12">
        <f t="shared" si="167"/>
        <v>0</v>
      </c>
      <c r="AB433" s="12"/>
      <c r="AC433" s="12">
        <f t="shared" si="168"/>
        <v>0</v>
      </c>
      <c r="AD433" s="42"/>
      <c r="AE433" s="12"/>
    </row>
    <row r="434" spans="1:31" s="46" customFormat="1" ht="21">
      <c r="A434" s="42"/>
      <c r="B434" s="42"/>
      <c r="C434" s="45"/>
      <c r="D434" s="45"/>
      <c r="E434" s="45"/>
      <c r="F434" s="47"/>
      <c r="G434" s="42"/>
      <c r="H434" s="42"/>
      <c r="I434" s="44"/>
      <c r="J434" s="44">
        <f t="shared" si="171"/>
        <v>0</v>
      </c>
      <c r="K434" s="42"/>
      <c r="L434" s="42">
        <f t="shared" si="169"/>
        <v>0</v>
      </c>
      <c r="M434" s="42"/>
      <c r="N434" s="42"/>
      <c r="O434" s="42"/>
      <c r="P434" s="31"/>
      <c r="Q434" s="42"/>
      <c r="R434" s="42"/>
      <c r="S434" s="42"/>
      <c r="T434" s="12">
        <f t="shared" si="172"/>
        <v>0</v>
      </c>
      <c r="U434" s="45"/>
      <c r="V434" s="12">
        <f>+T434*0</f>
        <v>0</v>
      </c>
      <c r="W434" s="12">
        <f t="shared" si="173"/>
        <v>0</v>
      </c>
      <c r="X434" s="116"/>
      <c r="Y434" s="117">
        <f t="shared" si="170"/>
        <v>0</v>
      </c>
      <c r="Z434" s="12"/>
      <c r="AA434" s="12">
        <f t="shared" si="167"/>
        <v>0</v>
      </c>
      <c r="AB434" s="12"/>
      <c r="AC434" s="12">
        <f t="shared" si="168"/>
        <v>0</v>
      </c>
      <c r="AD434" s="42"/>
      <c r="AE434" s="12"/>
    </row>
    <row r="435" spans="1:31" s="46" customFormat="1" ht="21">
      <c r="A435" s="42" t="s">
        <v>0</v>
      </c>
      <c r="B435" s="42" t="s">
        <v>1</v>
      </c>
      <c r="C435" s="45" t="s">
        <v>1685</v>
      </c>
      <c r="D435" s="45" t="s">
        <v>1687</v>
      </c>
      <c r="E435" s="10" t="s">
        <v>909</v>
      </c>
      <c r="F435" s="47" t="s">
        <v>137</v>
      </c>
      <c r="G435" s="42"/>
      <c r="H435" s="42"/>
      <c r="I435" s="44">
        <v>19.9</v>
      </c>
      <c r="J435" s="44">
        <f t="shared" si="171"/>
        <v>19.9</v>
      </c>
      <c r="K435" s="42">
        <v>10000</v>
      </c>
      <c r="L435" s="42">
        <f t="shared" si="169"/>
        <v>199000</v>
      </c>
      <c r="M435" s="42"/>
      <c r="N435" s="42" t="s">
        <v>62</v>
      </c>
      <c r="O435" s="104" t="s">
        <v>446</v>
      </c>
      <c r="P435" s="45">
        <v>2</v>
      </c>
      <c r="Q435" s="104">
        <v>40</v>
      </c>
      <c r="R435" s="104"/>
      <c r="S435" s="42">
        <v>6750</v>
      </c>
      <c r="T435" s="12">
        <f t="shared" si="172"/>
        <v>270000</v>
      </c>
      <c r="U435" s="102" t="s">
        <v>84</v>
      </c>
      <c r="V435" s="12">
        <f>+T435*0.2</f>
        <v>54000</v>
      </c>
      <c r="W435" s="12">
        <f t="shared" si="173"/>
        <v>216000</v>
      </c>
      <c r="X435" s="116"/>
      <c r="Y435" s="117">
        <f t="shared" si="170"/>
        <v>415000</v>
      </c>
      <c r="Z435" s="12"/>
      <c r="AA435" s="12">
        <f t="shared" si="167"/>
        <v>415000</v>
      </c>
      <c r="AB435" s="12">
        <v>0.02</v>
      </c>
      <c r="AC435" s="12">
        <f t="shared" si="168"/>
        <v>83</v>
      </c>
      <c r="AD435" s="42"/>
      <c r="AE435" s="12"/>
    </row>
    <row r="436" spans="1:31" s="46" customFormat="1" ht="21">
      <c r="A436" s="42" t="s">
        <v>0</v>
      </c>
      <c r="B436" s="42" t="s">
        <v>1</v>
      </c>
      <c r="C436" s="45" t="s">
        <v>1686</v>
      </c>
      <c r="D436" s="45" t="s">
        <v>1688</v>
      </c>
      <c r="E436" s="10" t="s">
        <v>909</v>
      </c>
      <c r="F436" s="47" t="s">
        <v>137</v>
      </c>
      <c r="G436" s="42"/>
      <c r="H436" s="42"/>
      <c r="I436" s="44">
        <v>20.5</v>
      </c>
      <c r="J436" s="44">
        <f t="shared" si="171"/>
        <v>20.5</v>
      </c>
      <c r="K436" s="42">
        <v>10000</v>
      </c>
      <c r="L436" s="42">
        <f t="shared" si="169"/>
        <v>205000</v>
      </c>
      <c r="M436" s="42"/>
      <c r="N436" s="42" t="s">
        <v>62</v>
      </c>
      <c r="O436" s="104" t="s">
        <v>446</v>
      </c>
      <c r="P436" s="45">
        <v>2</v>
      </c>
      <c r="Q436" s="104">
        <v>48</v>
      </c>
      <c r="R436" s="104"/>
      <c r="S436" s="42">
        <v>6750</v>
      </c>
      <c r="T436" s="12">
        <f t="shared" si="172"/>
        <v>324000</v>
      </c>
      <c r="U436" s="102" t="s">
        <v>81</v>
      </c>
      <c r="V436" s="12">
        <f>+T436*0.12</f>
        <v>38880</v>
      </c>
      <c r="W436" s="12">
        <f t="shared" si="173"/>
        <v>285120</v>
      </c>
      <c r="X436" s="116"/>
      <c r="Y436" s="117">
        <f t="shared" si="170"/>
        <v>490120</v>
      </c>
      <c r="Z436" s="12"/>
      <c r="AA436" s="12">
        <f t="shared" si="167"/>
        <v>490120</v>
      </c>
      <c r="AB436" s="12">
        <v>0.02</v>
      </c>
      <c r="AC436" s="12">
        <f t="shared" si="168"/>
        <v>98.024</v>
      </c>
      <c r="AD436" s="42"/>
      <c r="AE436" s="12"/>
    </row>
    <row r="437" spans="1:31" s="46" customFormat="1" ht="21">
      <c r="A437" s="42"/>
      <c r="B437" s="42"/>
      <c r="C437" s="45"/>
      <c r="D437" s="45"/>
      <c r="E437" s="45"/>
      <c r="F437" s="47"/>
      <c r="G437" s="42"/>
      <c r="H437" s="42"/>
      <c r="I437" s="44"/>
      <c r="J437" s="44">
        <f t="shared" si="171"/>
        <v>0</v>
      </c>
      <c r="K437" s="42"/>
      <c r="L437" s="42">
        <f t="shared" si="169"/>
        <v>0</v>
      </c>
      <c r="M437" s="42"/>
      <c r="N437" s="42"/>
      <c r="O437" s="42"/>
      <c r="P437" s="31"/>
      <c r="Q437" s="42"/>
      <c r="R437" s="42"/>
      <c r="S437" s="42"/>
      <c r="T437" s="12">
        <f t="shared" si="172"/>
        <v>0</v>
      </c>
      <c r="U437" s="45"/>
      <c r="V437" s="12">
        <f aca="true" t="shared" si="174" ref="V437:V445">+T437*0</f>
        <v>0</v>
      </c>
      <c r="W437" s="12">
        <f t="shared" si="173"/>
        <v>0</v>
      </c>
      <c r="X437" s="116"/>
      <c r="Y437" s="117">
        <f t="shared" si="170"/>
        <v>0</v>
      </c>
      <c r="Z437" s="12"/>
      <c r="AA437" s="12">
        <f t="shared" si="167"/>
        <v>0</v>
      </c>
      <c r="AB437" s="12"/>
      <c r="AC437" s="12">
        <f t="shared" si="168"/>
        <v>0</v>
      </c>
      <c r="AD437" s="42"/>
      <c r="AE437" s="12"/>
    </row>
    <row r="438" spans="1:31" s="46" customFormat="1" ht="21">
      <c r="A438" s="42"/>
      <c r="B438" s="42"/>
      <c r="C438" s="45"/>
      <c r="D438" s="45"/>
      <c r="E438" s="45"/>
      <c r="F438" s="47"/>
      <c r="G438" s="42"/>
      <c r="H438" s="42"/>
      <c r="I438" s="44"/>
      <c r="J438" s="44">
        <f t="shared" si="171"/>
        <v>0</v>
      </c>
      <c r="K438" s="42"/>
      <c r="L438" s="42">
        <f t="shared" si="169"/>
        <v>0</v>
      </c>
      <c r="M438" s="42"/>
      <c r="N438" s="42"/>
      <c r="O438" s="42"/>
      <c r="P438" s="31"/>
      <c r="Q438" s="42"/>
      <c r="R438" s="42"/>
      <c r="S438" s="42"/>
      <c r="T438" s="12">
        <f t="shared" si="172"/>
        <v>0</v>
      </c>
      <c r="U438" s="45"/>
      <c r="V438" s="12">
        <f t="shared" si="174"/>
        <v>0</v>
      </c>
      <c r="W438" s="12">
        <f t="shared" si="173"/>
        <v>0</v>
      </c>
      <c r="X438" s="116"/>
      <c r="Y438" s="117">
        <f t="shared" si="170"/>
        <v>0</v>
      </c>
      <c r="Z438" s="12"/>
      <c r="AA438" s="12">
        <f t="shared" si="167"/>
        <v>0</v>
      </c>
      <c r="AB438" s="12"/>
      <c r="AC438" s="12">
        <f t="shared" si="168"/>
        <v>0</v>
      </c>
      <c r="AD438" s="42"/>
      <c r="AE438" s="12"/>
    </row>
    <row r="439" spans="1:31" s="46" customFormat="1" ht="21">
      <c r="A439" s="42" t="s">
        <v>0</v>
      </c>
      <c r="B439" s="42" t="s">
        <v>1</v>
      </c>
      <c r="C439" s="45" t="s">
        <v>1689</v>
      </c>
      <c r="D439" s="51" t="s">
        <v>1691</v>
      </c>
      <c r="E439" s="45" t="s">
        <v>910</v>
      </c>
      <c r="F439" s="47" t="s">
        <v>140</v>
      </c>
      <c r="G439" s="42">
        <v>1</v>
      </c>
      <c r="H439" s="42">
        <v>2</v>
      </c>
      <c r="I439" s="44">
        <v>28</v>
      </c>
      <c r="J439" s="44">
        <f t="shared" si="171"/>
        <v>628</v>
      </c>
      <c r="K439" s="42">
        <v>6000</v>
      </c>
      <c r="L439" s="42">
        <f t="shared" si="169"/>
        <v>3768000</v>
      </c>
      <c r="M439" s="42"/>
      <c r="N439" s="42"/>
      <c r="O439" s="100"/>
      <c r="P439" s="45"/>
      <c r="Q439" s="100"/>
      <c r="R439" s="100"/>
      <c r="S439" s="42"/>
      <c r="T439" s="12">
        <f t="shared" si="172"/>
        <v>0</v>
      </c>
      <c r="U439" s="45"/>
      <c r="V439" s="12">
        <f t="shared" si="174"/>
        <v>0</v>
      </c>
      <c r="W439" s="12">
        <f t="shared" si="173"/>
        <v>0</v>
      </c>
      <c r="X439" s="116"/>
      <c r="Y439" s="117">
        <f t="shared" si="170"/>
        <v>3768000</v>
      </c>
      <c r="Z439" s="12"/>
      <c r="AA439" s="12">
        <f t="shared" si="167"/>
        <v>3768000</v>
      </c>
      <c r="AB439" s="12">
        <v>0.3</v>
      </c>
      <c r="AC439" s="12">
        <f t="shared" si="168"/>
        <v>11304</v>
      </c>
      <c r="AD439" s="42"/>
      <c r="AE439" s="12"/>
    </row>
    <row r="440" spans="1:31" s="46" customFormat="1" ht="21">
      <c r="A440" s="42" t="s">
        <v>0</v>
      </c>
      <c r="B440" s="42" t="s">
        <v>1</v>
      </c>
      <c r="C440" s="45" t="s">
        <v>1690</v>
      </c>
      <c r="D440" s="51" t="s">
        <v>1692</v>
      </c>
      <c r="E440" s="45" t="s">
        <v>910</v>
      </c>
      <c r="F440" s="47" t="s">
        <v>140</v>
      </c>
      <c r="G440" s="42"/>
      <c r="H440" s="42"/>
      <c r="I440" s="44">
        <v>56.1</v>
      </c>
      <c r="J440" s="44">
        <f t="shared" si="171"/>
        <v>56.1</v>
      </c>
      <c r="K440" s="42">
        <v>6000</v>
      </c>
      <c r="L440" s="42">
        <f t="shared" si="169"/>
        <v>336600</v>
      </c>
      <c r="M440" s="42"/>
      <c r="N440" s="42"/>
      <c r="O440" s="100"/>
      <c r="P440" s="45"/>
      <c r="Q440" s="100"/>
      <c r="R440" s="100"/>
      <c r="S440" s="42"/>
      <c r="T440" s="12">
        <f t="shared" si="172"/>
        <v>0</v>
      </c>
      <c r="U440" s="45"/>
      <c r="V440" s="12">
        <f t="shared" si="174"/>
        <v>0</v>
      </c>
      <c r="W440" s="12">
        <f t="shared" si="173"/>
        <v>0</v>
      </c>
      <c r="X440" s="116"/>
      <c r="Y440" s="117">
        <f t="shared" si="170"/>
        <v>336600</v>
      </c>
      <c r="Z440" s="12"/>
      <c r="AA440" s="12">
        <f t="shared" si="167"/>
        <v>336600</v>
      </c>
      <c r="AB440" s="12">
        <v>0.3</v>
      </c>
      <c r="AC440" s="12">
        <f t="shared" si="168"/>
        <v>1009.8</v>
      </c>
      <c r="AD440" s="42"/>
      <c r="AE440" s="12"/>
    </row>
    <row r="441" spans="1:31" s="46" customFormat="1" ht="21">
      <c r="A441" s="42"/>
      <c r="B441" s="42"/>
      <c r="C441" s="45"/>
      <c r="D441" s="45"/>
      <c r="E441" s="45"/>
      <c r="F441" s="47"/>
      <c r="G441" s="42"/>
      <c r="H441" s="42"/>
      <c r="I441" s="44"/>
      <c r="J441" s="44">
        <f t="shared" si="171"/>
        <v>0</v>
      </c>
      <c r="K441" s="42"/>
      <c r="L441" s="42">
        <f t="shared" si="169"/>
        <v>0</v>
      </c>
      <c r="M441" s="42"/>
      <c r="N441" s="42"/>
      <c r="O441" s="42"/>
      <c r="P441" s="31"/>
      <c r="Q441" s="42"/>
      <c r="R441" s="42"/>
      <c r="S441" s="42"/>
      <c r="T441" s="12">
        <f t="shared" si="172"/>
        <v>0</v>
      </c>
      <c r="U441" s="45"/>
      <c r="V441" s="12">
        <f t="shared" si="174"/>
        <v>0</v>
      </c>
      <c r="W441" s="12">
        <f t="shared" si="173"/>
        <v>0</v>
      </c>
      <c r="X441" s="116"/>
      <c r="Y441" s="117">
        <f t="shared" si="170"/>
        <v>0</v>
      </c>
      <c r="Z441" s="12"/>
      <c r="AA441" s="12">
        <f t="shared" si="167"/>
        <v>0</v>
      </c>
      <c r="AB441" s="12"/>
      <c r="AC441" s="12">
        <f t="shared" si="168"/>
        <v>0</v>
      </c>
      <c r="AD441" s="42"/>
      <c r="AE441" s="12"/>
    </row>
    <row r="442" spans="1:31" s="46" customFormat="1" ht="21">
      <c r="A442" s="42"/>
      <c r="B442" s="42"/>
      <c r="C442" s="45"/>
      <c r="D442" s="45"/>
      <c r="E442" s="45"/>
      <c r="F442" s="47"/>
      <c r="G442" s="42"/>
      <c r="H442" s="42"/>
      <c r="I442" s="44"/>
      <c r="J442" s="44">
        <f t="shared" si="171"/>
        <v>0</v>
      </c>
      <c r="K442" s="42"/>
      <c r="L442" s="42">
        <f t="shared" si="169"/>
        <v>0</v>
      </c>
      <c r="M442" s="42"/>
      <c r="N442" s="42"/>
      <c r="O442" s="42"/>
      <c r="P442" s="31"/>
      <c r="Q442" s="42"/>
      <c r="R442" s="42"/>
      <c r="S442" s="42"/>
      <c r="T442" s="12">
        <f t="shared" si="172"/>
        <v>0</v>
      </c>
      <c r="U442" s="45"/>
      <c r="V442" s="12">
        <f t="shared" si="174"/>
        <v>0</v>
      </c>
      <c r="W442" s="12">
        <f t="shared" si="173"/>
        <v>0</v>
      </c>
      <c r="X442" s="116"/>
      <c r="Y442" s="117">
        <f t="shared" si="170"/>
        <v>0</v>
      </c>
      <c r="Z442" s="12"/>
      <c r="AA442" s="12">
        <f t="shared" si="167"/>
        <v>0</v>
      </c>
      <c r="AB442" s="12"/>
      <c r="AC442" s="12">
        <f t="shared" si="168"/>
        <v>0</v>
      </c>
      <c r="AD442" s="42"/>
      <c r="AE442" s="12"/>
    </row>
    <row r="443" spans="1:31" s="46" customFormat="1" ht="21">
      <c r="A443" s="42" t="s">
        <v>0</v>
      </c>
      <c r="B443" s="42" t="s">
        <v>1</v>
      </c>
      <c r="C443" s="45" t="s">
        <v>1693</v>
      </c>
      <c r="D443" s="51" t="s">
        <v>1694</v>
      </c>
      <c r="E443" s="29" t="s">
        <v>907</v>
      </c>
      <c r="F443" s="47" t="s">
        <v>140</v>
      </c>
      <c r="G443" s="42"/>
      <c r="H443" s="42"/>
      <c r="I443" s="44">
        <v>3.7</v>
      </c>
      <c r="J443" s="44">
        <f t="shared" si="171"/>
        <v>3.7</v>
      </c>
      <c r="K443" s="42">
        <v>12000</v>
      </c>
      <c r="L443" s="42">
        <f t="shared" si="169"/>
        <v>44400</v>
      </c>
      <c r="M443" s="42"/>
      <c r="N443" s="42"/>
      <c r="O443" s="100"/>
      <c r="P443" s="45"/>
      <c r="Q443" s="100"/>
      <c r="R443" s="100"/>
      <c r="S443" s="42"/>
      <c r="T443" s="12">
        <f t="shared" si="172"/>
        <v>0</v>
      </c>
      <c r="U443" s="45"/>
      <c r="V443" s="12">
        <f t="shared" si="174"/>
        <v>0</v>
      </c>
      <c r="W443" s="12">
        <f t="shared" si="173"/>
        <v>0</v>
      </c>
      <c r="X443" s="116"/>
      <c r="Y443" s="117">
        <f t="shared" si="170"/>
        <v>44400</v>
      </c>
      <c r="Z443" s="12"/>
      <c r="AA443" s="12">
        <f t="shared" si="167"/>
        <v>44400</v>
      </c>
      <c r="AB443" s="12">
        <v>0.3</v>
      </c>
      <c r="AC443" s="12">
        <f t="shared" si="168"/>
        <v>133.2</v>
      </c>
      <c r="AD443" s="42"/>
      <c r="AE443" s="12"/>
    </row>
    <row r="444" spans="1:31" s="46" customFormat="1" ht="21">
      <c r="A444" s="42"/>
      <c r="B444" s="42"/>
      <c r="C444" s="45"/>
      <c r="D444" s="45"/>
      <c r="E444" s="45"/>
      <c r="F444" s="47"/>
      <c r="G444" s="42"/>
      <c r="H444" s="42"/>
      <c r="I444" s="44"/>
      <c r="J444" s="44">
        <f t="shared" si="171"/>
        <v>0</v>
      </c>
      <c r="K444" s="42"/>
      <c r="L444" s="42">
        <f t="shared" si="169"/>
        <v>0</v>
      </c>
      <c r="M444" s="42"/>
      <c r="N444" s="42"/>
      <c r="O444" s="100"/>
      <c r="P444" s="31"/>
      <c r="Q444" s="100"/>
      <c r="R444" s="100"/>
      <c r="S444" s="42"/>
      <c r="T444" s="12">
        <f t="shared" si="172"/>
        <v>0</v>
      </c>
      <c r="U444" s="45"/>
      <c r="V444" s="12">
        <f t="shared" si="174"/>
        <v>0</v>
      </c>
      <c r="W444" s="12">
        <f t="shared" si="173"/>
        <v>0</v>
      </c>
      <c r="X444" s="116"/>
      <c r="Y444" s="117">
        <f t="shared" si="170"/>
        <v>0</v>
      </c>
      <c r="Z444" s="12"/>
      <c r="AA444" s="12">
        <f t="shared" si="167"/>
        <v>0</v>
      </c>
      <c r="AB444" s="12"/>
      <c r="AC444" s="12">
        <f t="shared" si="168"/>
        <v>0</v>
      </c>
      <c r="AD444" s="42"/>
      <c r="AE444" s="12"/>
    </row>
    <row r="445" spans="1:31" s="46" customFormat="1" ht="21">
      <c r="A445" s="42"/>
      <c r="B445" s="42"/>
      <c r="C445" s="45"/>
      <c r="D445" s="45"/>
      <c r="E445" s="45"/>
      <c r="F445" s="47"/>
      <c r="G445" s="42"/>
      <c r="H445" s="42"/>
      <c r="I445" s="44"/>
      <c r="J445" s="44">
        <f t="shared" si="171"/>
        <v>0</v>
      </c>
      <c r="K445" s="42"/>
      <c r="L445" s="42">
        <f t="shared" si="169"/>
        <v>0</v>
      </c>
      <c r="M445" s="42"/>
      <c r="N445" s="42"/>
      <c r="O445" s="42"/>
      <c r="P445" s="31"/>
      <c r="Q445" s="42"/>
      <c r="R445" s="42"/>
      <c r="S445" s="42"/>
      <c r="T445" s="12">
        <f t="shared" si="172"/>
        <v>0</v>
      </c>
      <c r="U445" s="45"/>
      <c r="V445" s="12">
        <f t="shared" si="174"/>
        <v>0</v>
      </c>
      <c r="W445" s="12">
        <f t="shared" si="173"/>
        <v>0</v>
      </c>
      <c r="X445" s="116"/>
      <c r="Y445" s="117">
        <f t="shared" si="170"/>
        <v>0</v>
      </c>
      <c r="Z445" s="12"/>
      <c r="AA445" s="12">
        <f t="shared" si="167"/>
        <v>0</v>
      </c>
      <c r="AB445" s="12"/>
      <c r="AC445" s="12">
        <f t="shared" si="168"/>
        <v>0</v>
      </c>
      <c r="AD445" s="42"/>
      <c r="AE445" s="12"/>
    </row>
    <row r="446" spans="1:31" s="46" customFormat="1" ht="21">
      <c r="A446" s="42" t="s">
        <v>0</v>
      </c>
      <c r="B446" s="42" t="s">
        <v>1</v>
      </c>
      <c r="C446" s="45" t="s">
        <v>1695</v>
      </c>
      <c r="D446" s="51" t="s">
        <v>1697</v>
      </c>
      <c r="E446" s="29" t="s">
        <v>907</v>
      </c>
      <c r="F446" s="47" t="s">
        <v>143</v>
      </c>
      <c r="G446" s="42"/>
      <c r="H446" s="42"/>
      <c r="I446" s="44">
        <v>21.4</v>
      </c>
      <c r="J446" s="44">
        <f t="shared" si="171"/>
        <v>21.4</v>
      </c>
      <c r="K446" s="42">
        <v>30000</v>
      </c>
      <c r="L446" s="42">
        <f t="shared" si="169"/>
        <v>642000</v>
      </c>
      <c r="M446" s="42"/>
      <c r="N446" s="42" t="s">
        <v>62</v>
      </c>
      <c r="O446" s="104" t="s">
        <v>446</v>
      </c>
      <c r="P446" s="45" t="s">
        <v>143</v>
      </c>
      <c r="Q446" s="104">
        <v>96</v>
      </c>
      <c r="R446" s="104"/>
      <c r="S446" s="42">
        <v>6750</v>
      </c>
      <c r="T446" s="12">
        <f t="shared" si="172"/>
        <v>648000</v>
      </c>
      <c r="U446" s="102" t="s">
        <v>87</v>
      </c>
      <c r="V446" s="12">
        <f>+T446*0.28</f>
        <v>181440.00000000003</v>
      </c>
      <c r="W446" s="12">
        <f t="shared" si="173"/>
        <v>466560</v>
      </c>
      <c r="X446" s="116"/>
      <c r="Y446" s="117">
        <f t="shared" si="170"/>
        <v>1108560</v>
      </c>
      <c r="Z446" s="12"/>
      <c r="AA446" s="12">
        <f t="shared" si="167"/>
        <v>1108560</v>
      </c>
      <c r="AB446" s="12">
        <v>0.3</v>
      </c>
      <c r="AC446" s="12">
        <f t="shared" si="168"/>
        <v>3325.68</v>
      </c>
      <c r="AD446" s="42"/>
      <c r="AE446" s="12"/>
    </row>
    <row r="447" spans="1:31" s="46" customFormat="1" ht="21">
      <c r="A447" s="42" t="s">
        <v>0</v>
      </c>
      <c r="B447" s="42" t="s">
        <v>1</v>
      </c>
      <c r="C447" s="45" t="s">
        <v>1696</v>
      </c>
      <c r="D447" s="51" t="s">
        <v>1698</v>
      </c>
      <c r="E447" s="29" t="s">
        <v>907</v>
      </c>
      <c r="F447" s="47" t="s">
        <v>137</v>
      </c>
      <c r="G447" s="42"/>
      <c r="H447" s="42"/>
      <c r="I447" s="44">
        <v>26.6</v>
      </c>
      <c r="J447" s="44">
        <f t="shared" si="171"/>
        <v>26.6</v>
      </c>
      <c r="K447" s="42">
        <v>15000</v>
      </c>
      <c r="L447" s="42">
        <f t="shared" si="169"/>
        <v>399000</v>
      </c>
      <c r="M447" s="42"/>
      <c r="N447" s="42" t="s">
        <v>60</v>
      </c>
      <c r="O447" s="104" t="s">
        <v>446</v>
      </c>
      <c r="P447" s="45">
        <v>2</v>
      </c>
      <c r="Q447" s="104">
        <v>112</v>
      </c>
      <c r="R447" s="100"/>
      <c r="S447" s="42">
        <v>7550</v>
      </c>
      <c r="T447" s="12">
        <f t="shared" si="172"/>
        <v>845600</v>
      </c>
      <c r="U447" s="102" t="s">
        <v>82</v>
      </c>
      <c r="V447" s="12">
        <f>+T447*0.16</f>
        <v>135296</v>
      </c>
      <c r="W447" s="12">
        <f t="shared" si="173"/>
        <v>710304</v>
      </c>
      <c r="X447" s="116"/>
      <c r="Y447" s="117">
        <f t="shared" si="170"/>
        <v>1109304</v>
      </c>
      <c r="Z447" s="12"/>
      <c r="AA447" s="12">
        <f t="shared" si="167"/>
        <v>1109304</v>
      </c>
      <c r="AB447" s="12">
        <v>0.02</v>
      </c>
      <c r="AC447" s="12">
        <f t="shared" si="168"/>
        <v>221.8608</v>
      </c>
      <c r="AD447" s="42"/>
      <c r="AE447" s="12"/>
    </row>
    <row r="448" spans="1:31" s="46" customFormat="1" ht="21">
      <c r="A448" s="42"/>
      <c r="B448" s="42"/>
      <c r="C448" s="45"/>
      <c r="D448" s="45"/>
      <c r="E448" s="45"/>
      <c r="F448" s="47"/>
      <c r="G448" s="42"/>
      <c r="H448" s="42"/>
      <c r="I448" s="44"/>
      <c r="J448" s="44">
        <f t="shared" si="171"/>
        <v>0</v>
      </c>
      <c r="K448" s="42"/>
      <c r="L448" s="42">
        <f t="shared" si="169"/>
        <v>0</v>
      </c>
      <c r="M448" s="42"/>
      <c r="N448" s="42"/>
      <c r="O448" s="42"/>
      <c r="P448" s="31"/>
      <c r="Q448" s="42"/>
      <c r="R448" s="42"/>
      <c r="S448" s="42"/>
      <c r="T448" s="12">
        <f t="shared" si="172"/>
        <v>0</v>
      </c>
      <c r="U448" s="45"/>
      <c r="V448" s="12">
        <f>+T448*0</f>
        <v>0</v>
      </c>
      <c r="W448" s="12">
        <f t="shared" si="173"/>
        <v>0</v>
      </c>
      <c r="X448" s="116"/>
      <c r="Y448" s="117">
        <f t="shared" si="170"/>
        <v>0</v>
      </c>
      <c r="Z448" s="12"/>
      <c r="AA448" s="12">
        <f aca="true" t="shared" si="175" ref="AA448:AA481">+Y448-Z448</f>
        <v>0</v>
      </c>
      <c r="AB448" s="12"/>
      <c r="AC448" s="12">
        <f aca="true" t="shared" si="176" ref="AC448:AC481">+AA448*AB448/100</f>
        <v>0</v>
      </c>
      <c r="AD448" s="42"/>
      <c r="AE448" s="12"/>
    </row>
    <row r="449" spans="1:31" s="46" customFormat="1" ht="21">
      <c r="A449" s="42"/>
      <c r="B449" s="42"/>
      <c r="C449" s="45"/>
      <c r="D449" s="45"/>
      <c r="E449" s="45"/>
      <c r="F449" s="47"/>
      <c r="G449" s="42"/>
      <c r="H449" s="42"/>
      <c r="I449" s="44"/>
      <c r="J449" s="44">
        <f t="shared" si="171"/>
        <v>0</v>
      </c>
      <c r="K449" s="42"/>
      <c r="L449" s="42">
        <f t="shared" si="169"/>
        <v>0</v>
      </c>
      <c r="M449" s="42"/>
      <c r="N449" s="42"/>
      <c r="O449" s="42"/>
      <c r="P449" s="31"/>
      <c r="Q449" s="42"/>
      <c r="R449" s="42"/>
      <c r="S449" s="42"/>
      <c r="T449" s="12">
        <f t="shared" si="172"/>
        <v>0</v>
      </c>
      <c r="U449" s="45"/>
      <c r="V449" s="12">
        <f>+T449*0</f>
        <v>0</v>
      </c>
      <c r="W449" s="12">
        <f t="shared" si="173"/>
        <v>0</v>
      </c>
      <c r="X449" s="116"/>
      <c r="Y449" s="117">
        <f t="shared" si="170"/>
        <v>0</v>
      </c>
      <c r="Z449" s="12"/>
      <c r="AA449" s="12">
        <f t="shared" si="175"/>
        <v>0</v>
      </c>
      <c r="AB449" s="12"/>
      <c r="AC449" s="12">
        <f t="shared" si="176"/>
        <v>0</v>
      </c>
      <c r="AD449" s="42"/>
      <c r="AE449" s="12"/>
    </row>
    <row r="450" spans="1:31" s="46" customFormat="1" ht="21">
      <c r="A450" s="42" t="s">
        <v>0</v>
      </c>
      <c r="B450" s="42" t="s">
        <v>1</v>
      </c>
      <c r="C450" s="45" t="s">
        <v>1699</v>
      </c>
      <c r="D450" s="45" t="s">
        <v>1703</v>
      </c>
      <c r="E450" s="29" t="s">
        <v>907</v>
      </c>
      <c r="F450" s="47" t="s">
        <v>140</v>
      </c>
      <c r="G450" s="42"/>
      <c r="H450" s="42"/>
      <c r="I450" s="44">
        <v>34</v>
      </c>
      <c r="J450" s="44">
        <f t="shared" si="171"/>
        <v>34</v>
      </c>
      <c r="K450" s="42">
        <v>15000</v>
      </c>
      <c r="L450" s="42">
        <f t="shared" si="169"/>
        <v>510000</v>
      </c>
      <c r="M450" s="42"/>
      <c r="N450" s="42"/>
      <c r="O450" s="100"/>
      <c r="P450" s="45"/>
      <c r="Q450" s="100"/>
      <c r="R450" s="100"/>
      <c r="S450" s="42"/>
      <c r="T450" s="12">
        <f t="shared" si="172"/>
        <v>0</v>
      </c>
      <c r="U450" s="45"/>
      <c r="V450" s="12">
        <f>+T450*0</f>
        <v>0</v>
      </c>
      <c r="W450" s="12">
        <f t="shared" si="173"/>
        <v>0</v>
      </c>
      <c r="X450" s="116"/>
      <c r="Y450" s="117">
        <f aca="true" t="shared" si="177" ref="Y450:Y481">+L450+W450</f>
        <v>510000</v>
      </c>
      <c r="Z450" s="12"/>
      <c r="AA450" s="12">
        <f t="shared" si="175"/>
        <v>510000</v>
      </c>
      <c r="AB450" s="12">
        <v>0.3</v>
      </c>
      <c r="AC450" s="12">
        <f t="shared" si="176"/>
        <v>1530</v>
      </c>
      <c r="AD450" s="42"/>
      <c r="AE450" s="12"/>
    </row>
    <row r="451" spans="1:31" s="46" customFormat="1" ht="21">
      <c r="A451" s="42" t="s">
        <v>0</v>
      </c>
      <c r="B451" s="42" t="s">
        <v>1</v>
      </c>
      <c r="C451" s="45" t="s">
        <v>1700</v>
      </c>
      <c r="D451" s="45" t="s">
        <v>1704</v>
      </c>
      <c r="E451" s="29" t="s">
        <v>907</v>
      </c>
      <c r="F451" s="47" t="s">
        <v>140</v>
      </c>
      <c r="G451" s="42"/>
      <c r="H451" s="42"/>
      <c r="I451" s="44">
        <v>36.8</v>
      </c>
      <c r="J451" s="44">
        <f t="shared" si="171"/>
        <v>36.8</v>
      </c>
      <c r="K451" s="42">
        <v>15000</v>
      </c>
      <c r="L451" s="42">
        <f t="shared" si="169"/>
        <v>552000</v>
      </c>
      <c r="M451" s="42"/>
      <c r="N451" s="42"/>
      <c r="O451" s="100"/>
      <c r="P451" s="45"/>
      <c r="Q451" s="100"/>
      <c r="R451" s="100"/>
      <c r="S451" s="42"/>
      <c r="T451" s="12">
        <f t="shared" si="172"/>
        <v>0</v>
      </c>
      <c r="U451" s="45"/>
      <c r="V451" s="12">
        <f>+T451*0</f>
        <v>0</v>
      </c>
      <c r="W451" s="12">
        <f t="shared" si="173"/>
        <v>0</v>
      </c>
      <c r="X451" s="116"/>
      <c r="Y451" s="117">
        <f t="shared" si="177"/>
        <v>552000</v>
      </c>
      <c r="Z451" s="12"/>
      <c r="AA451" s="12">
        <f t="shared" si="175"/>
        <v>552000</v>
      </c>
      <c r="AB451" s="12">
        <v>0.3</v>
      </c>
      <c r="AC451" s="12">
        <f t="shared" si="176"/>
        <v>1656</v>
      </c>
      <c r="AD451" s="42"/>
      <c r="AE451" s="12"/>
    </row>
    <row r="452" spans="1:31" s="46" customFormat="1" ht="21">
      <c r="A452" s="42" t="s">
        <v>0</v>
      </c>
      <c r="B452" s="42" t="s">
        <v>1</v>
      </c>
      <c r="C452" s="45" t="s">
        <v>1701</v>
      </c>
      <c r="D452" s="45" t="s">
        <v>1705</v>
      </c>
      <c r="E452" s="29" t="s">
        <v>907</v>
      </c>
      <c r="F452" s="47" t="s">
        <v>137</v>
      </c>
      <c r="G452" s="42"/>
      <c r="H452" s="42"/>
      <c r="I452" s="44">
        <v>58.7</v>
      </c>
      <c r="J452" s="44">
        <f t="shared" si="171"/>
        <v>58.7</v>
      </c>
      <c r="K452" s="42">
        <v>15000</v>
      </c>
      <c r="L452" s="42">
        <f t="shared" si="169"/>
        <v>880500</v>
      </c>
      <c r="M452" s="42"/>
      <c r="N452" s="42" t="s">
        <v>64</v>
      </c>
      <c r="O452" s="104" t="s">
        <v>446</v>
      </c>
      <c r="P452" s="45">
        <v>2</v>
      </c>
      <c r="Q452" s="104">
        <v>140</v>
      </c>
      <c r="R452" s="100"/>
      <c r="S452" s="42">
        <v>6550</v>
      </c>
      <c r="T452" s="12">
        <f t="shared" si="172"/>
        <v>917000</v>
      </c>
      <c r="U452" s="102" t="s">
        <v>84</v>
      </c>
      <c r="V452" s="12">
        <f>+T452*0.2</f>
        <v>183400</v>
      </c>
      <c r="W452" s="12">
        <f t="shared" si="173"/>
        <v>733600</v>
      </c>
      <c r="X452" s="116"/>
      <c r="Y452" s="117">
        <f t="shared" si="177"/>
        <v>1614100</v>
      </c>
      <c r="Z452" s="12"/>
      <c r="AA452" s="12">
        <f t="shared" si="175"/>
        <v>1614100</v>
      </c>
      <c r="AB452" s="12">
        <v>0.02</v>
      </c>
      <c r="AC452" s="12">
        <f t="shared" si="176"/>
        <v>322.82</v>
      </c>
      <c r="AD452" s="42"/>
      <c r="AE452" s="12"/>
    </row>
    <row r="453" spans="1:31" s="46" customFormat="1" ht="21">
      <c r="A453" s="42" t="s">
        <v>0</v>
      </c>
      <c r="B453" s="42" t="s">
        <v>1</v>
      </c>
      <c r="C453" s="45" t="s">
        <v>1702</v>
      </c>
      <c r="D453" s="45" t="s">
        <v>1706</v>
      </c>
      <c r="E453" s="29" t="s">
        <v>907</v>
      </c>
      <c r="F453" s="47" t="s">
        <v>140</v>
      </c>
      <c r="G453" s="42"/>
      <c r="H453" s="42"/>
      <c r="I453" s="44">
        <v>3.1</v>
      </c>
      <c r="J453" s="44">
        <f t="shared" si="171"/>
        <v>3.1</v>
      </c>
      <c r="K453" s="42">
        <v>15000</v>
      </c>
      <c r="L453" s="42">
        <f t="shared" si="169"/>
        <v>46500</v>
      </c>
      <c r="M453" s="42"/>
      <c r="N453" s="42"/>
      <c r="O453" s="42"/>
      <c r="P453" s="45"/>
      <c r="Q453" s="42"/>
      <c r="R453" s="100"/>
      <c r="S453" s="42"/>
      <c r="T453" s="12">
        <f t="shared" si="172"/>
        <v>0</v>
      </c>
      <c r="U453" s="45"/>
      <c r="V453" s="12">
        <f>+T453*0</f>
        <v>0</v>
      </c>
      <c r="W453" s="12">
        <f t="shared" si="173"/>
        <v>0</v>
      </c>
      <c r="X453" s="116"/>
      <c r="Y453" s="117">
        <f t="shared" si="177"/>
        <v>46500</v>
      </c>
      <c r="Z453" s="12"/>
      <c r="AA453" s="12">
        <f t="shared" si="175"/>
        <v>46500</v>
      </c>
      <c r="AB453" s="12">
        <v>0.3</v>
      </c>
      <c r="AC453" s="12">
        <f t="shared" si="176"/>
        <v>139.5</v>
      </c>
      <c r="AD453" s="42"/>
      <c r="AE453" s="12"/>
    </row>
    <row r="454" spans="1:31" s="46" customFormat="1" ht="21">
      <c r="A454" s="42" t="s">
        <v>0</v>
      </c>
      <c r="B454" s="42" t="s">
        <v>1</v>
      </c>
      <c r="C454" s="45" t="s">
        <v>1707</v>
      </c>
      <c r="D454" s="51" t="s">
        <v>1709</v>
      </c>
      <c r="E454" s="10" t="s">
        <v>909</v>
      </c>
      <c r="F454" s="47" t="s">
        <v>143</v>
      </c>
      <c r="G454" s="42"/>
      <c r="H454" s="42"/>
      <c r="I454" s="44">
        <v>87.6</v>
      </c>
      <c r="J454" s="44">
        <f t="shared" si="171"/>
        <v>87.6</v>
      </c>
      <c r="K454" s="42">
        <v>8000</v>
      </c>
      <c r="L454" s="42">
        <f t="shared" si="169"/>
        <v>700800</v>
      </c>
      <c r="M454" s="42"/>
      <c r="N454" s="42" t="s">
        <v>1711</v>
      </c>
      <c r="O454" s="104" t="s">
        <v>446</v>
      </c>
      <c r="P454" s="45" t="s">
        <v>143</v>
      </c>
      <c r="Q454" s="104">
        <v>150</v>
      </c>
      <c r="R454" s="100"/>
      <c r="S454" s="42">
        <v>2500</v>
      </c>
      <c r="T454" s="12">
        <f t="shared" si="172"/>
        <v>375000</v>
      </c>
      <c r="U454" s="45" t="s">
        <v>150</v>
      </c>
      <c r="V454" s="12">
        <f>+T454*0.04</f>
        <v>15000</v>
      </c>
      <c r="W454" s="12">
        <f t="shared" si="173"/>
        <v>360000</v>
      </c>
      <c r="X454" s="116"/>
      <c r="Y454" s="117">
        <f t="shared" si="177"/>
        <v>1060800</v>
      </c>
      <c r="Z454" s="12"/>
      <c r="AA454" s="12">
        <f t="shared" si="175"/>
        <v>1060800</v>
      </c>
      <c r="AB454" s="12">
        <v>0.3</v>
      </c>
      <c r="AC454" s="12">
        <f t="shared" si="176"/>
        <v>3182.4</v>
      </c>
      <c r="AD454" s="42"/>
      <c r="AE454" s="12"/>
    </row>
    <row r="455" spans="1:31" s="46" customFormat="1" ht="21">
      <c r="A455" s="42" t="s">
        <v>0</v>
      </c>
      <c r="B455" s="42" t="s">
        <v>1</v>
      </c>
      <c r="C455" s="45" t="s">
        <v>1708</v>
      </c>
      <c r="D455" s="51" t="s">
        <v>1710</v>
      </c>
      <c r="E455" s="10" t="s">
        <v>909</v>
      </c>
      <c r="F455" s="47" t="s">
        <v>143</v>
      </c>
      <c r="G455" s="42"/>
      <c r="H455" s="42"/>
      <c r="I455" s="44">
        <v>71.3</v>
      </c>
      <c r="J455" s="44">
        <f t="shared" si="171"/>
        <v>71.3</v>
      </c>
      <c r="K455" s="42">
        <v>8000</v>
      </c>
      <c r="L455" s="42">
        <f t="shared" si="169"/>
        <v>570400</v>
      </c>
      <c r="M455" s="42"/>
      <c r="N455" s="42"/>
      <c r="O455" s="100"/>
      <c r="P455" s="45"/>
      <c r="Q455" s="100"/>
      <c r="R455" s="100"/>
      <c r="S455" s="42"/>
      <c r="T455" s="12">
        <f t="shared" si="172"/>
        <v>0</v>
      </c>
      <c r="U455" s="45"/>
      <c r="V455" s="12">
        <f aca="true" t="shared" si="178" ref="V455:V461">+T455*0</f>
        <v>0</v>
      </c>
      <c r="W455" s="12">
        <f t="shared" si="173"/>
        <v>0</v>
      </c>
      <c r="X455" s="116"/>
      <c r="Y455" s="117">
        <f t="shared" si="177"/>
        <v>570400</v>
      </c>
      <c r="Z455" s="12"/>
      <c r="AA455" s="12">
        <f t="shared" si="175"/>
        <v>570400</v>
      </c>
      <c r="AB455" s="12">
        <v>0.3</v>
      </c>
      <c r="AC455" s="12">
        <f t="shared" si="176"/>
        <v>1711.2</v>
      </c>
      <c r="AD455" s="42"/>
      <c r="AE455" s="12"/>
    </row>
    <row r="456" spans="1:31" s="46" customFormat="1" ht="21">
      <c r="A456" s="42"/>
      <c r="B456" s="42"/>
      <c r="C456" s="45"/>
      <c r="D456" s="45"/>
      <c r="E456" s="45"/>
      <c r="F456" s="47"/>
      <c r="G456" s="42"/>
      <c r="H456" s="42"/>
      <c r="I456" s="44"/>
      <c r="J456" s="44">
        <f t="shared" si="171"/>
        <v>0</v>
      </c>
      <c r="K456" s="42"/>
      <c r="L456" s="42">
        <f t="shared" si="169"/>
        <v>0</v>
      </c>
      <c r="M456" s="42"/>
      <c r="N456" s="42"/>
      <c r="O456" s="42"/>
      <c r="P456" s="31"/>
      <c r="Q456" s="42"/>
      <c r="R456" s="42"/>
      <c r="S456" s="42"/>
      <c r="T456" s="12">
        <f t="shared" si="172"/>
        <v>0</v>
      </c>
      <c r="U456" s="45"/>
      <c r="V456" s="12">
        <f t="shared" si="178"/>
        <v>0</v>
      </c>
      <c r="W456" s="12">
        <f t="shared" si="173"/>
        <v>0</v>
      </c>
      <c r="X456" s="116"/>
      <c r="Y456" s="117">
        <f t="shared" si="177"/>
        <v>0</v>
      </c>
      <c r="Z456" s="12"/>
      <c r="AA456" s="12">
        <f t="shared" si="175"/>
        <v>0</v>
      </c>
      <c r="AB456" s="12"/>
      <c r="AC456" s="12">
        <f t="shared" si="176"/>
        <v>0</v>
      </c>
      <c r="AD456" s="42"/>
      <c r="AE456" s="12"/>
    </row>
    <row r="457" spans="1:31" s="46" customFormat="1" ht="21">
      <c r="A457" s="42"/>
      <c r="B457" s="42"/>
      <c r="C457" s="45"/>
      <c r="D457" s="45"/>
      <c r="E457" s="45"/>
      <c r="F457" s="47"/>
      <c r="G457" s="42"/>
      <c r="H457" s="42"/>
      <c r="I457" s="44"/>
      <c r="J457" s="44">
        <f t="shared" si="171"/>
        <v>0</v>
      </c>
      <c r="K457" s="42"/>
      <c r="L457" s="42">
        <f t="shared" si="169"/>
        <v>0</v>
      </c>
      <c r="M457" s="42"/>
      <c r="N457" s="42"/>
      <c r="O457" s="42"/>
      <c r="P457" s="31"/>
      <c r="Q457" s="42"/>
      <c r="R457" s="42"/>
      <c r="S457" s="42"/>
      <c r="T457" s="12">
        <f t="shared" si="172"/>
        <v>0</v>
      </c>
      <c r="U457" s="45"/>
      <c r="V457" s="12">
        <f t="shared" si="178"/>
        <v>0</v>
      </c>
      <c r="W457" s="12">
        <f t="shared" si="173"/>
        <v>0</v>
      </c>
      <c r="X457" s="116"/>
      <c r="Y457" s="117">
        <f t="shared" si="177"/>
        <v>0</v>
      </c>
      <c r="Z457" s="12"/>
      <c r="AA457" s="12">
        <f t="shared" si="175"/>
        <v>0</v>
      </c>
      <c r="AB457" s="12"/>
      <c r="AC457" s="12">
        <f t="shared" si="176"/>
        <v>0</v>
      </c>
      <c r="AD457" s="42"/>
      <c r="AE457" s="12"/>
    </row>
    <row r="458" spans="1:31" s="46" customFormat="1" ht="21">
      <c r="A458" s="42" t="s">
        <v>0</v>
      </c>
      <c r="B458" s="42" t="s">
        <v>1</v>
      </c>
      <c r="C458" s="45" t="s">
        <v>1712</v>
      </c>
      <c r="D458" s="45" t="s">
        <v>1714</v>
      </c>
      <c r="E458" s="29" t="s">
        <v>907</v>
      </c>
      <c r="F458" s="47" t="s">
        <v>140</v>
      </c>
      <c r="G458" s="42"/>
      <c r="H458" s="42"/>
      <c r="I458" s="44">
        <v>66</v>
      </c>
      <c r="J458" s="44">
        <f t="shared" si="171"/>
        <v>66</v>
      </c>
      <c r="K458" s="42">
        <v>15000</v>
      </c>
      <c r="L458" s="42">
        <f t="shared" si="169"/>
        <v>990000</v>
      </c>
      <c r="M458" s="42"/>
      <c r="N458" s="42"/>
      <c r="O458" s="100"/>
      <c r="P458" s="45"/>
      <c r="Q458" s="100"/>
      <c r="R458" s="100"/>
      <c r="S458" s="42"/>
      <c r="T458" s="12">
        <f t="shared" si="172"/>
        <v>0</v>
      </c>
      <c r="U458" s="45"/>
      <c r="V458" s="12">
        <f t="shared" si="178"/>
        <v>0</v>
      </c>
      <c r="W458" s="12">
        <f t="shared" si="173"/>
        <v>0</v>
      </c>
      <c r="X458" s="116"/>
      <c r="Y458" s="117">
        <f t="shared" si="177"/>
        <v>990000</v>
      </c>
      <c r="Z458" s="12"/>
      <c r="AA458" s="12">
        <f t="shared" si="175"/>
        <v>990000</v>
      </c>
      <c r="AB458" s="12">
        <v>0.3</v>
      </c>
      <c r="AC458" s="12">
        <f t="shared" si="176"/>
        <v>2970</v>
      </c>
      <c r="AD458" s="42"/>
      <c r="AE458" s="12"/>
    </row>
    <row r="459" spans="1:31" s="46" customFormat="1" ht="21">
      <c r="A459" s="42" t="s">
        <v>0</v>
      </c>
      <c r="B459" s="42" t="s">
        <v>1</v>
      </c>
      <c r="C459" s="45" t="s">
        <v>1713</v>
      </c>
      <c r="D459" s="45" t="s">
        <v>1715</v>
      </c>
      <c r="E459" s="29" t="s">
        <v>907</v>
      </c>
      <c r="F459" s="47" t="s">
        <v>140</v>
      </c>
      <c r="G459" s="42"/>
      <c r="H459" s="42"/>
      <c r="I459" s="44">
        <v>65.8</v>
      </c>
      <c r="J459" s="44">
        <f t="shared" si="171"/>
        <v>65.8</v>
      </c>
      <c r="K459" s="42">
        <v>15000</v>
      </c>
      <c r="L459" s="42">
        <f t="shared" si="169"/>
        <v>987000</v>
      </c>
      <c r="M459" s="42"/>
      <c r="N459" s="42"/>
      <c r="O459" s="100"/>
      <c r="P459" s="45"/>
      <c r="Q459" s="100"/>
      <c r="R459" s="100"/>
      <c r="S459" s="42"/>
      <c r="T459" s="12">
        <f t="shared" si="172"/>
        <v>0</v>
      </c>
      <c r="U459" s="45"/>
      <c r="V459" s="12">
        <f t="shared" si="178"/>
        <v>0</v>
      </c>
      <c r="W459" s="12">
        <f t="shared" si="173"/>
        <v>0</v>
      </c>
      <c r="X459" s="116"/>
      <c r="Y459" s="117">
        <f t="shared" si="177"/>
        <v>987000</v>
      </c>
      <c r="Z459" s="12"/>
      <c r="AA459" s="12">
        <f t="shared" si="175"/>
        <v>987000</v>
      </c>
      <c r="AB459" s="12">
        <v>0.3</v>
      </c>
      <c r="AC459" s="12">
        <f t="shared" si="176"/>
        <v>2961</v>
      </c>
      <c r="AD459" s="42"/>
      <c r="AE459" s="12"/>
    </row>
    <row r="460" spans="1:31" s="46" customFormat="1" ht="21">
      <c r="A460" s="42"/>
      <c r="B460" s="42"/>
      <c r="C460" s="45"/>
      <c r="D460" s="45"/>
      <c r="E460" s="45"/>
      <c r="F460" s="47"/>
      <c r="G460" s="42"/>
      <c r="H460" s="42"/>
      <c r="I460" s="44"/>
      <c r="J460" s="44">
        <f t="shared" si="171"/>
        <v>0</v>
      </c>
      <c r="K460" s="42"/>
      <c r="L460" s="42">
        <f t="shared" si="169"/>
        <v>0</v>
      </c>
      <c r="M460" s="42"/>
      <c r="N460" s="42"/>
      <c r="O460" s="100"/>
      <c r="P460" s="31"/>
      <c r="Q460" s="100"/>
      <c r="R460" s="100"/>
      <c r="S460" s="42"/>
      <c r="T460" s="12">
        <f t="shared" si="172"/>
        <v>0</v>
      </c>
      <c r="U460" s="45"/>
      <c r="V460" s="12">
        <f t="shared" si="178"/>
        <v>0</v>
      </c>
      <c r="W460" s="12">
        <f t="shared" si="173"/>
        <v>0</v>
      </c>
      <c r="X460" s="116"/>
      <c r="Y460" s="117">
        <f t="shared" si="177"/>
        <v>0</v>
      </c>
      <c r="Z460" s="12"/>
      <c r="AA460" s="12">
        <f t="shared" si="175"/>
        <v>0</v>
      </c>
      <c r="AB460" s="12"/>
      <c r="AC460" s="12">
        <f t="shared" si="176"/>
        <v>0</v>
      </c>
      <c r="AD460" s="42"/>
      <c r="AE460" s="12"/>
    </row>
    <row r="461" spans="1:31" s="46" customFormat="1" ht="21">
      <c r="A461" s="42"/>
      <c r="B461" s="42"/>
      <c r="C461" s="45"/>
      <c r="D461" s="45"/>
      <c r="E461" s="45"/>
      <c r="F461" s="47"/>
      <c r="G461" s="42"/>
      <c r="H461" s="42"/>
      <c r="I461" s="44"/>
      <c r="J461" s="44">
        <f t="shared" si="171"/>
        <v>0</v>
      </c>
      <c r="K461" s="42"/>
      <c r="L461" s="42">
        <f t="shared" si="169"/>
        <v>0</v>
      </c>
      <c r="M461" s="42"/>
      <c r="N461" s="42"/>
      <c r="O461" s="42"/>
      <c r="P461" s="31"/>
      <c r="Q461" s="42"/>
      <c r="R461" s="42"/>
      <c r="S461" s="42"/>
      <c r="T461" s="12">
        <f t="shared" si="172"/>
        <v>0</v>
      </c>
      <c r="U461" s="45"/>
      <c r="V461" s="12">
        <f t="shared" si="178"/>
        <v>0</v>
      </c>
      <c r="W461" s="12">
        <f t="shared" si="173"/>
        <v>0</v>
      </c>
      <c r="X461" s="116"/>
      <c r="Y461" s="117">
        <f t="shared" si="177"/>
        <v>0</v>
      </c>
      <c r="Z461" s="12"/>
      <c r="AA461" s="12">
        <f t="shared" si="175"/>
        <v>0</v>
      </c>
      <c r="AB461" s="12"/>
      <c r="AC461" s="12">
        <f t="shared" si="176"/>
        <v>0</v>
      </c>
      <c r="AD461" s="42"/>
      <c r="AE461" s="12"/>
    </row>
    <row r="462" spans="1:31" s="46" customFormat="1" ht="21">
      <c r="A462" s="42" t="s">
        <v>0</v>
      </c>
      <c r="B462" s="42" t="s">
        <v>1</v>
      </c>
      <c r="C462" s="45" t="s">
        <v>1716</v>
      </c>
      <c r="D462" s="45" t="s">
        <v>1717</v>
      </c>
      <c r="E462" s="10" t="s">
        <v>909</v>
      </c>
      <c r="F462" s="47" t="s">
        <v>137</v>
      </c>
      <c r="G462" s="42"/>
      <c r="H462" s="42"/>
      <c r="I462" s="44">
        <v>20.1</v>
      </c>
      <c r="J462" s="44">
        <f t="shared" si="171"/>
        <v>20.1</v>
      </c>
      <c r="K462" s="42">
        <v>10000</v>
      </c>
      <c r="L462" s="42">
        <f t="shared" si="169"/>
        <v>201000</v>
      </c>
      <c r="M462" s="42"/>
      <c r="N462" s="42" t="s">
        <v>62</v>
      </c>
      <c r="O462" s="104" t="s">
        <v>446</v>
      </c>
      <c r="P462" s="45">
        <v>2</v>
      </c>
      <c r="Q462" s="104">
        <v>96</v>
      </c>
      <c r="R462" s="104"/>
      <c r="S462" s="42">
        <v>6750</v>
      </c>
      <c r="T462" s="12">
        <f t="shared" si="172"/>
        <v>648000</v>
      </c>
      <c r="U462" s="102" t="s">
        <v>84</v>
      </c>
      <c r="V462" s="12">
        <f>+T462*0.2</f>
        <v>129600</v>
      </c>
      <c r="W462" s="12">
        <f t="shared" si="173"/>
        <v>518400</v>
      </c>
      <c r="X462" s="116"/>
      <c r="Y462" s="117">
        <f t="shared" si="177"/>
        <v>719400</v>
      </c>
      <c r="Z462" s="12"/>
      <c r="AA462" s="12">
        <f t="shared" si="175"/>
        <v>719400</v>
      </c>
      <c r="AB462" s="12">
        <v>0.02</v>
      </c>
      <c r="AC462" s="12">
        <f t="shared" si="176"/>
        <v>143.88</v>
      </c>
      <c r="AD462" s="42"/>
      <c r="AE462" s="12"/>
    </row>
    <row r="463" spans="1:31" s="46" customFormat="1" ht="21">
      <c r="A463" s="42"/>
      <c r="B463" s="42"/>
      <c r="C463" s="45"/>
      <c r="D463" s="45"/>
      <c r="E463" s="45"/>
      <c r="F463" s="47"/>
      <c r="G463" s="42"/>
      <c r="H463" s="42"/>
      <c r="I463" s="44"/>
      <c r="J463" s="44">
        <f t="shared" si="171"/>
        <v>0</v>
      </c>
      <c r="K463" s="42"/>
      <c r="L463" s="42">
        <f t="shared" si="169"/>
        <v>0</v>
      </c>
      <c r="M463" s="42"/>
      <c r="N463" s="42"/>
      <c r="O463" s="100"/>
      <c r="P463" s="31"/>
      <c r="Q463" s="100"/>
      <c r="R463" s="100"/>
      <c r="S463" s="42"/>
      <c r="T463" s="12">
        <f t="shared" si="172"/>
        <v>0</v>
      </c>
      <c r="U463" s="45"/>
      <c r="V463" s="12">
        <f>+T463*0</f>
        <v>0</v>
      </c>
      <c r="W463" s="12">
        <f t="shared" si="173"/>
        <v>0</v>
      </c>
      <c r="X463" s="116"/>
      <c r="Y463" s="117">
        <f t="shared" si="177"/>
        <v>0</v>
      </c>
      <c r="Z463" s="12"/>
      <c r="AA463" s="12">
        <f t="shared" si="175"/>
        <v>0</v>
      </c>
      <c r="AB463" s="12"/>
      <c r="AC463" s="12">
        <f t="shared" si="176"/>
        <v>0</v>
      </c>
      <c r="AD463" s="42"/>
      <c r="AE463" s="12"/>
    </row>
    <row r="464" spans="1:31" s="46" customFormat="1" ht="21">
      <c r="A464" s="42"/>
      <c r="B464" s="42"/>
      <c r="C464" s="45"/>
      <c r="D464" s="45"/>
      <c r="E464" s="45"/>
      <c r="F464" s="47"/>
      <c r="G464" s="42"/>
      <c r="H464" s="42"/>
      <c r="I464" s="44"/>
      <c r="J464" s="44">
        <f aca="true" t="shared" si="179" ref="J464:J495">+I464+(H464*100)+(G464*400)</f>
        <v>0</v>
      </c>
      <c r="K464" s="42"/>
      <c r="L464" s="42">
        <f t="shared" si="169"/>
        <v>0</v>
      </c>
      <c r="M464" s="42"/>
      <c r="N464" s="42"/>
      <c r="O464" s="42"/>
      <c r="P464" s="31"/>
      <c r="Q464" s="42"/>
      <c r="R464" s="42"/>
      <c r="S464" s="42"/>
      <c r="T464" s="12">
        <f aca="true" t="shared" si="180" ref="T464:T495">+Q464*S464</f>
        <v>0</v>
      </c>
      <c r="U464" s="45"/>
      <c r="V464" s="12">
        <f>+T464*0</f>
        <v>0</v>
      </c>
      <c r="W464" s="12">
        <f aca="true" t="shared" si="181" ref="W464:W495">+T464-V464</f>
        <v>0</v>
      </c>
      <c r="X464" s="116"/>
      <c r="Y464" s="117">
        <f t="shared" si="177"/>
        <v>0</v>
      </c>
      <c r="Z464" s="12"/>
      <c r="AA464" s="12">
        <f t="shared" si="175"/>
        <v>0</v>
      </c>
      <c r="AB464" s="12"/>
      <c r="AC464" s="12">
        <f t="shared" si="176"/>
        <v>0</v>
      </c>
      <c r="AD464" s="42"/>
      <c r="AE464" s="12"/>
    </row>
    <row r="465" spans="1:31" s="46" customFormat="1" ht="21">
      <c r="A465" s="42" t="s">
        <v>0</v>
      </c>
      <c r="B465" s="42" t="s">
        <v>1</v>
      </c>
      <c r="C465" s="45" t="s">
        <v>1718</v>
      </c>
      <c r="D465" s="51" t="s">
        <v>1719</v>
      </c>
      <c r="E465" s="29" t="s">
        <v>907</v>
      </c>
      <c r="F465" s="47" t="s">
        <v>137</v>
      </c>
      <c r="G465" s="42"/>
      <c r="H465" s="42"/>
      <c r="I465" s="44">
        <v>80</v>
      </c>
      <c r="J465" s="44">
        <f t="shared" si="179"/>
        <v>80</v>
      </c>
      <c r="K465" s="42">
        <v>12000</v>
      </c>
      <c r="L465" s="42">
        <f t="shared" si="169"/>
        <v>960000</v>
      </c>
      <c r="M465" s="42"/>
      <c r="N465" s="42" t="s">
        <v>64</v>
      </c>
      <c r="O465" s="104" t="s">
        <v>446</v>
      </c>
      <c r="P465" s="45">
        <v>2</v>
      </c>
      <c r="Q465" s="104">
        <v>112</v>
      </c>
      <c r="R465" s="100"/>
      <c r="S465" s="42">
        <v>6550</v>
      </c>
      <c r="T465" s="12">
        <f t="shared" si="180"/>
        <v>733600</v>
      </c>
      <c r="U465" s="45" t="s">
        <v>150</v>
      </c>
      <c r="V465" s="12">
        <f>+T465*0.04</f>
        <v>29344</v>
      </c>
      <c r="W465" s="12">
        <f t="shared" si="181"/>
        <v>704256</v>
      </c>
      <c r="X465" s="116"/>
      <c r="Y465" s="117">
        <f t="shared" si="177"/>
        <v>1664256</v>
      </c>
      <c r="Z465" s="12"/>
      <c r="AA465" s="12">
        <f t="shared" si="175"/>
        <v>1664256</v>
      </c>
      <c r="AB465" s="12">
        <v>0.02</v>
      </c>
      <c r="AC465" s="12">
        <f t="shared" si="176"/>
        <v>332.8512</v>
      </c>
      <c r="AD465" s="42"/>
      <c r="AE465" s="12"/>
    </row>
    <row r="466" spans="1:31" s="46" customFormat="1" ht="21">
      <c r="A466" s="42"/>
      <c r="B466" s="42"/>
      <c r="C466" s="45"/>
      <c r="D466" s="45"/>
      <c r="E466" s="45"/>
      <c r="F466" s="47"/>
      <c r="G466" s="42"/>
      <c r="H466" s="42"/>
      <c r="I466" s="44"/>
      <c r="J466" s="44">
        <f t="shared" si="179"/>
        <v>0</v>
      </c>
      <c r="K466" s="42"/>
      <c r="L466" s="42">
        <f t="shared" si="169"/>
        <v>0</v>
      </c>
      <c r="M466" s="42"/>
      <c r="N466" s="42"/>
      <c r="O466" s="42"/>
      <c r="P466" s="31"/>
      <c r="Q466" s="42"/>
      <c r="R466" s="42"/>
      <c r="S466" s="42"/>
      <c r="T466" s="12">
        <f t="shared" si="180"/>
        <v>0</v>
      </c>
      <c r="U466" s="45"/>
      <c r="V466" s="12">
        <f>+T466*0</f>
        <v>0</v>
      </c>
      <c r="W466" s="12">
        <f t="shared" si="181"/>
        <v>0</v>
      </c>
      <c r="X466" s="116"/>
      <c r="Y466" s="117">
        <f t="shared" si="177"/>
        <v>0</v>
      </c>
      <c r="Z466" s="12"/>
      <c r="AA466" s="12">
        <f t="shared" si="175"/>
        <v>0</v>
      </c>
      <c r="AB466" s="12"/>
      <c r="AC466" s="12">
        <f t="shared" si="176"/>
        <v>0</v>
      </c>
      <c r="AD466" s="42"/>
      <c r="AE466" s="12"/>
    </row>
    <row r="467" spans="1:31" s="46" customFormat="1" ht="21">
      <c r="A467" s="42"/>
      <c r="B467" s="42"/>
      <c r="C467" s="45"/>
      <c r="D467" s="45"/>
      <c r="E467" s="45"/>
      <c r="F467" s="47"/>
      <c r="G467" s="42"/>
      <c r="H467" s="42"/>
      <c r="I467" s="44"/>
      <c r="J467" s="44">
        <f t="shared" si="179"/>
        <v>0</v>
      </c>
      <c r="K467" s="42"/>
      <c r="L467" s="42">
        <f t="shared" si="169"/>
        <v>0</v>
      </c>
      <c r="M467" s="42"/>
      <c r="N467" s="42"/>
      <c r="O467" s="42"/>
      <c r="P467" s="31"/>
      <c r="Q467" s="42"/>
      <c r="R467" s="42"/>
      <c r="S467" s="42"/>
      <c r="T467" s="12">
        <f t="shared" si="180"/>
        <v>0</v>
      </c>
      <c r="U467" s="45"/>
      <c r="V467" s="12">
        <f>+T467*0</f>
        <v>0</v>
      </c>
      <c r="W467" s="12">
        <f t="shared" si="181"/>
        <v>0</v>
      </c>
      <c r="X467" s="116"/>
      <c r="Y467" s="117">
        <f t="shared" si="177"/>
        <v>0</v>
      </c>
      <c r="Z467" s="12"/>
      <c r="AA467" s="12">
        <f t="shared" si="175"/>
        <v>0</v>
      </c>
      <c r="AB467" s="12"/>
      <c r="AC467" s="12">
        <f t="shared" si="176"/>
        <v>0</v>
      </c>
      <c r="AD467" s="42"/>
      <c r="AE467" s="12"/>
    </row>
    <row r="468" spans="1:31" s="46" customFormat="1" ht="21">
      <c r="A468" s="42" t="s">
        <v>0</v>
      </c>
      <c r="B468" s="42" t="s">
        <v>1</v>
      </c>
      <c r="C468" s="45" t="s">
        <v>847</v>
      </c>
      <c r="D468" s="45" t="s">
        <v>1720</v>
      </c>
      <c r="E468" s="29" t="s">
        <v>907</v>
      </c>
      <c r="F468" s="47" t="s">
        <v>137</v>
      </c>
      <c r="G468" s="42"/>
      <c r="H468" s="42"/>
      <c r="I468" s="44">
        <v>19.2</v>
      </c>
      <c r="J468" s="44">
        <f t="shared" si="179"/>
        <v>19.2</v>
      </c>
      <c r="K468" s="42">
        <v>12000</v>
      </c>
      <c r="L468" s="42">
        <f t="shared" si="169"/>
        <v>230400</v>
      </c>
      <c r="M468" s="42"/>
      <c r="N468" s="42" t="s">
        <v>62</v>
      </c>
      <c r="O468" s="104" t="s">
        <v>446</v>
      </c>
      <c r="P468" s="45">
        <v>2</v>
      </c>
      <c r="Q468" s="104">
        <v>80</v>
      </c>
      <c r="R468" s="104"/>
      <c r="S468" s="42">
        <v>6750</v>
      </c>
      <c r="T468" s="12">
        <f t="shared" si="180"/>
        <v>540000</v>
      </c>
      <c r="U468" s="102" t="s">
        <v>82</v>
      </c>
      <c r="V468" s="12">
        <f>+T468*0.16</f>
        <v>86400</v>
      </c>
      <c r="W468" s="12">
        <f t="shared" si="181"/>
        <v>453600</v>
      </c>
      <c r="X468" s="116"/>
      <c r="Y468" s="117">
        <f t="shared" si="177"/>
        <v>684000</v>
      </c>
      <c r="Z468" s="12"/>
      <c r="AA468" s="12">
        <f t="shared" si="175"/>
        <v>684000</v>
      </c>
      <c r="AB468" s="12">
        <v>0.02</v>
      </c>
      <c r="AC468" s="12">
        <f t="shared" si="176"/>
        <v>136.8</v>
      </c>
      <c r="AD468" s="42"/>
      <c r="AE468" s="12"/>
    </row>
    <row r="469" spans="1:31" s="46" customFormat="1" ht="21">
      <c r="A469" s="42"/>
      <c r="B469" s="42"/>
      <c r="C469" s="45"/>
      <c r="D469" s="45"/>
      <c r="E469" s="45"/>
      <c r="F469" s="47"/>
      <c r="G469" s="42"/>
      <c r="H469" s="42"/>
      <c r="I469" s="44"/>
      <c r="J469" s="44">
        <f t="shared" si="179"/>
        <v>0</v>
      </c>
      <c r="K469" s="42"/>
      <c r="L469" s="42">
        <f t="shared" si="169"/>
        <v>0</v>
      </c>
      <c r="M469" s="42"/>
      <c r="N469" s="42"/>
      <c r="O469" s="100"/>
      <c r="P469" s="31"/>
      <c r="Q469" s="100"/>
      <c r="R469" s="100"/>
      <c r="S469" s="42"/>
      <c r="T469" s="12">
        <f t="shared" si="180"/>
        <v>0</v>
      </c>
      <c r="U469" s="45"/>
      <c r="V469" s="12">
        <f>+T469*0</f>
        <v>0</v>
      </c>
      <c r="W469" s="12">
        <f t="shared" si="181"/>
        <v>0</v>
      </c>
      <c r="X469" s="116"/>
      <c r="Y469" s="117">
        <f t="shared" si="177"/>
        <v>0</v>
      </c>
      <c r="Z469" s="12"/>
      <c r="AA469" s="12">
        <f t="shared" si="175"/>
        <v>0</v>
      </c>
      <c r="AB469" s="12"/>
      <c r="AC469" s="12">
        <f t="shared" si="176"/>
        <v>0</v>
      </c>
      <c r="AD469" s="42"/>
      <c r="AE469" s="12"/>
    </row>
    <row r="470" spans="1:31" s="46" customFormat="1" ht="21">
      <c r="A470" s="42"/>
      <c r="B470" s="42"/>
      <c r="C470" s="45"/>
      <c r="D470" s="45"/>
      <c r="E470" s="45"/>
      <c r="F470" s="47"/>
      <c r="G470" s="42"/>
      <c r="H470" s="42"/>
      <c r="I470" s="44"/>
      <c r="J470" s="44">
        <f t="shared" si="179"/>
        <v>0</v>
      </c>
      <c r="K470" s="42"/>
      <c r="L470" s="42">
        <f t="shared" si="169"/>
        <v>0</v>
      </c>
      <c r="M470" s="42"/>
      <c r="N470" s="42"/>
      <c r="O470" s="42"/>
      <c r="P470" s="31"/>
      <c r="Q470" s="42"/>
      <c r="R470" s="42"/>
      <c r="S470" s="42"/>
      <c r="T470" s="12">
        <f t="shared" si="180"/>
        <v>0</v>
      </c>
      <c r="U470" s="45"/>
      <c r="V470" s="12">
        <f>+T470*0</f>
        <v>0</v>
      </c>
      <c r="W470" s="12">
        <f t="shared" si="181"/>
        <v>0</v>
      </c>
      <c r="X470" s="116"/>
      <c r="Y470" s="117">
        <f t="shared" si="177"/>
        <v>0</v>
      </c>
      <c r="Z470" s="12"/>
      <c r="AA470" s="12">
        <f t="shared" si="175"/>
        <v>0</v>
      </c>
      <c r="AB470" s="12"/>
      <c r="AC470" s="12">
        <f t="shared" si="176"/>
        <v>0</v>
      </c>
      <c r="AD470" s="42"/>
      <c r="AE470" s="12"/>
    </row>
    <row r="471" spans="1:31" s="46" customFormat="1" ht="21">
      <c r="A471" s="42" t="s">
        <v>0</v>
      </c>
      <c r="B471" s="42" t="s">
        <v>1</v>
      </c>
      <c r="C471" s="45" t="s">
        <v>1721</v>
      </c>
      <c r="D471" s="51" t="s">
        <v>1722</v>
      </c>
      <c r="E471" s="10" t="s">
        <v>909</v>
      </c>
      <c r="F471" s="47" t="s">
        <v>140</v>
      </c>
      <c r="G471" s="42"/>
      <c r="H471" s="42">
        <v>1</v>
      </c>
      <c r="I471" s="44">
        <v>18.5</v>
      </c>
      <c r="J471" s="44">
        <f t="shared" si="179"/>
        <v>118.5</v>
      </c>
      <c r="K471" s="42">
        <v>1500</v>
      </c>
      <c r="L471" s="42">
        <f t="shared" si="169"/>
        <v>177750</v>
      </c>
      <c r="M471" s="42"/>
      <c r="N471" s="42"/>
      <c r="O471" s="100"/>
      <c r="P471" s="45"/>
      <c r="Q471" s="100"/>
      <c r="R471" s="100"/>
      <c r="S471" s="42"/>
      <c r="T471" s="12">
        <f t="shared" si="180"/>
        <v>0</v>
      </c>
      <c r="U471" s="45"/>
      <c r="V471" s="12">
        <f>+T471*0</f>
        <v>0</v>
      </c>
      <c r="W471" s="12">
        <f t="shared" si="181"/>
        <v>0</v>
      </c>
      <c r="X471" s="116"/>
      <c r="Y471" s="117">
        <f t="shared" si="177"/>
        <v>177750</v>
      </c>
      <c r="Z471" s="12"/>
      <c r="AA471" s="12">
        <f t="shared" si="175"/>
        <v>177750</v>
      </c>
      <c r="AB471" s="12">
        <v>0.3</v>
      </c>
      <c r="AC471" s="12">
        <f t="shared" si="176"/>
        <v>533.25</v>
      </c>
      <c r="AD471" s="42"/>
      <c r="AE471" s="12"/>
    </row>
    <row r="472" spans="1:31" s="46" customFormat="1" ht="21">
      <c r="A472" s="42"/>
      <c r="B472" s="42"/>
      <c r="C472" s="45"/>
      <c r="D472" s="45"/>
      <c r="E472" s="45"/>
      <c r="F472" s="47"/>
      <c r="G472" s="42"/>
      <c r="H472" s="42"/>
      <c r="I472" s="44"/>
      <c r="J472" s="44">
        <f t="shared" si="179"/>
        <v>0</v>
      </c>
      <c r="K472" s="42"/>
      <c r="L472" s="42">
        <f t="shared" si="169"/>
        <v>0</v>
      </c>
      <c r="M472" s="42"/>
      <c r="N472" s="42"/>
      <c r="O472" s="100"/>
      <c r="P472" s="31"/>
      <c r="Q472" s="100"/>
      <c r="R472" s="100"/>
      <c r="S472" s="42"/>
      <c r="T472" s="12">
        <f t="shared" si="180"/>
        <v>0</v>
      </c>
      <c r="U472" s="45"/>
      <c r="V472" s="12">
        <f>+T472*0</f>
        <v>0</v>
      </c>
      <c r="W472" s="12">
        <f t="shared" si="181"/>
        <v>0</v>
      </c>
      <c r="X472" s="116"/>
      <c r="Y472" s="117">
        <f t="shared" si="177"/>
        <v>0</v>
      </c>
      <c r="Z472" s="12"/>
      <c r="AA472" s="12">
        <f t="shared" si="175"/>
        <v>0</v>
      </c>
      <c r="AB472" s="12"/>
      <c r="AC472" s="12">
        <f t="shared" si="176"/>
        <v>0</v>
      </c>
      <c r="AD472" s="42"/>
      <c r="AE472" s="12"/>
    </row>
    <row r="473" spans="1:31" s="46" customFormat="1" ht="21">
      <c r="A473" s="42"/>
      <c r="B473" s="42"/>
      <c r="C473" s="45"/>
      <c r="D473" s="45"/>
      <c r="E473" s="45"/>
      <c r="F473" s="47"/>
      <c r="G473" s="42"/>
      <c r="H473" s="42"/>
      <c r="I473" s="44"/>
      <c r="J473" s="44">
        <f t="shared" si="179"/>
        <v>0</v>
      </c>
      <c r="K473" s="42"/>
      <c r="L473" s="42">
        <f t="shared" si="169"/>
        <v>0</v>
      </c>
      <c r="M473" s="42"/>
      <c r="N473" s="42"/>
      <c r="O473" s="42"/>
      <c r="P473" s="31"/>
      <c r="Q473" s="42"/>
      <c r="R473" s="42"/>
      <c r="S473" s="42"/>
      <c r="T473" s="12">
        <f t="shared" si="180"/>
        <v>0</v>
      </c>
      <c r="U473" s="45"/>
      <c r="V473" s="12">
        <f>+T473*0</f>
        <v>0</v>
      </c>
      <c r="W473" s="12">
        <f t="shared" si="181"/>
        <v>0</v>
      </c>
      <c r="X473" s="116"/>
      <c r="Y473" s="117">
        <f t="shared" si="177"/>
        <v>0</v>
      </c>
      <c r="Z473" s="12"/>
      <c r="AA473" s="12">
        <f t="shared" si="175"/>
        <v>0</v>
      </c>
      <c r="AB473" s="12"/>
      <c r="AC473" s="12">
        <f t="shared" si="176"/>
        <v>0</v>
      </c>
      <c r="AD473" s="42"/>
      <c r="AE473" s="12"/>
    </row>
    <row r="474" spans="1:31" s="46" customFormat="1" ht="21">
      <c r="A474" s="42" t="s">
        <v>0</v>
      </c>
      <c r="B474" s="42" t="s">
        <v>1</v>
      </c>
      <c r="C474" s="45" t="s">
        <v>1771</v>
      </c>
      <c r="D474" s="45" t="s">
        <v>1773</v>
      </c>
      <c r="E474" s="29" t="s">
        <v>907</v>
      </c>
      <c r="F474" s="47" t="s">
        <v>137</v>
      </c>
      <c r="G474" s="42"/>
      <c r="H474" s="42"/>
      <c r="I474" s="44">
        <v>15.9</v>
      </c>
      <c r="J474" s="44">
        <f t="shared" si="179"/>
        <v>15.9</v>
      </c>
      <c r="K474" s="42">
        <v>40000</v>
      </c>
      <c r="L474" s="42">
        <f>+K474*J474</f>
        <v>636000</v>
      </c>
      <c r="M474" s="42"/>
      <c r="N474" s="42" t="s">
        <v>60</v>
      </c>
      <c r="O474" s="104" t="s">
        <v>446</v>
      </c>
      <c r="P474" s="45">
        <v>2</v>
      </c>
      <c r="Q474" s="104">
        <v>132</v>
      </c>
      <c r="R474" s="100"/>
      <c r="S474" s="42">
        <v>7550</v>
      </c>
      <c r="T474" s="12">
        <f t="shared" si="180"/>
        <v>996600</v>
      </c>
      <c r="U474" s="102" t="s">
        <v>84</v>
      </c>
      <c r="V474" s="12">
        <f>+T474*0.2</f>
        <v>199320</v>
      </c>
      <c r="W474" s="12">
        <f t="shared" si="181"/>
        <v>797280</v>
      </c>
      <c r="X474" s="116"/>
      <c r="Y474" s="117">
        <f>+L474+W474</f>
        <v>1433280</v>
      </c>
      <c r="Z474" s="12"/>
      <c r="AA474" s="12">
        <f>+Y474-Z474</f>
        <v>1433280</v>
      </c>
      <c r="AB474" s="12">
        <v>0.02</v>
      </c>
      <c r="AC474" s="12">
        <f>+AA474*AB474/100</f>
        <v>286.656</v>
      </c>
      <c r="AD474" s="42"/>
      <c r="AE474" s="12"/>
    </row>
    <row r="475" spans="1:31" s="46" customFormat="1" ht="21">
      <c r="A475" s="42" t="s">
        <v>0</v>
      </c>
      <c r="B475" s="42" t="s">
        <v>1</v>
      </c>
      <c r="C475" s="45" t="s">
        <v>1772</v>
      </c>
      <c r="D475" s="51" t="s">
        <v>1774</v>
      </c>
      <c r="E475" s="29" t="s">
        <v>907</v>
      </c>
      <c r="F475" s="47" t="s">
        <v>137</v>
      </c>
      <c r="G475" s="42"/>
      <c r="H475" s="42"/>
      <c r="I475" s="44">
        <v>15.9</v>
      </c>
      <c r="J475" s="44">
        <f t="shared" si="179"/>
        <v>15.9</v>
      </c>
      <c r="K475" s="42">
        <v>25000</v>
      </c>
      <c r="L475" s="42">
        <f>+K475*J475</f>
        <v>397500</v>
      </c>
      <c r="M475" s="42"/>
      <c r="N475" s="42" t="s">
        <v>60</v>
      </c>
      <c r="O475" s="104" t="s">
        <v>446</v>
      </c>
      <c r="P475" s="45">
        <v>2</v>
      </c>
      <c r="Q475" s="104">
        <v>128</v>
      </c>
      <c r="R475" s="100"/>
      <c r="S475" s="42">
        <v>7550</v>
      </c>
      <c r="T475" s="12">
        <f t="shared" si="180"/>
        <v>966400</v>
      </c>
      <c r="U475" s="102" t="s">
        <v>84</v>
      </c>
      <c r="V475" s="12">
        <f>+T475*0.2</f>
        <v>193280</v>
      </c>
      <c r="W475" s="12">
        <f t="shared" si="181"/>
        <v>773120</v>
      </c>
      <c r="X475" s="116"/>
      <c r="Y475" s="117">
        <f>+L475+W475</f>
        <v>1170620</v>
      </c>
      <c r="Z475" s="12"/>
      <c r="AA475" s="12">
        <f>+Y475-Z475</f>
        <v>1170620</v>
      </c>
      <c r="AB475" s="12">
        <v>0.02</v>
      </c>
      <c r="AC475" s="12">
        <f>+AA475*AB475/100</f>
        <v>234.12400000000002</v>
      </c>
      <c r="AD475" s="42"/>
      <c r="AE475" s="12"/>
    </row>
    <row r="476" spans="1:31" s="46" customFormat="1" ht="21">
      <c r="A476" s="42"/>
      <c r="B476" s="42"/>
      <c r="C476" s="45"/>
      <c r="D476" s="45"/>
      <c r="E476" s="45"/>
      <c r="F476" s="47"/>
      <c r="G476" s="42"/>
      <c r="H476" s="42"/>
      <c r="I476" s="44"/>
      <c r="J476" s="44">
        <f t="shared" si="179"/>
        <v>0</v>
      </c>
      <c r="K476" s="42"/>
      <c r="L476" s="42">
        <f>+K476*J476</f>
        <v>0</v>
      </c>
      <c r="M476" s="42"/>
      <c r="N476" s="42"/>
      <c r="O476" s="42"/>
      <c r="P476" s="31"/>
      <c r="Q476" s="42"/>
      <c r="R476" s="42"/>
      <c r="S476" s="42"/>
      <c r="T476" s="12">
        <f t="shared" si="180"/>
        <v>0</v>
      </c>
      <c r="U476" s="45"/>
      <c r="V476" s="12">
        <f>+T476*0</f>
        <v>0</v>
      </c>
      <c r="W476" s="12">
        <f t="shared" si="181"/>
        <v>0</v>
      </c>
      <c r="X476" s="116"/>
      <c r="Y476" s="117">
        <f>+L476+W476</f>
        <v>0</v>
      </c>
      <c r="Z476" s="12"/>
      <c r="AA476" s="12">
        <f>+Y476-Z476</f>
        <v>0</v>
      </c>
      <c r="AB476" s="12"/>
      <c r="AC476" s="12">
        <f>+AA476*AB476/100</f>
        <v>0</v>
      </c>
      <c r="AD476" s="42"/>
      <c r="AE476" s="12"/>
    </row>
    <row r="477" spans="1:31" s="46" customFormat="1" ht="21">
      <c r="A477" s="42"/>
      <c r="B477" s="42"/>
      <c r="C477" s="45"/>
      <c r="D477" s="45"/>
      <c r="E477" s="45"/>
      <c r="F477" s="47"/>
      <c r="G477" s="42"/>
      <c r="H477" s="42"/>
      <c r="I477" s="44"/>
      <c r="J477" s="44">
        <f t="shared" si="179"/>
        <v>0</v>
      </c>
      <c r="K477" s="42"/>
      <c r="L477" s="42">
        <f>+K477*J477</f>
        <v>0</v>
      </c>
      <c r="M477" s="42"/>
      <c r="N477" s="42"/>
      <c r="O477" s="42"/>
      <c r="P477" s="31"/>
      <c r="Q477" s="42"/>
      <c r="R477" s="42"/>
      <c r="S477" s="42"/>
      <c r="T477" s="12">
        <f t="shared" si="180"/>
        <v>0</v>
      </c>
      <c r="U477" s="45"/>
      <c r="V477" s="12">
        <f>+T477*0</f>
        <v>0</v>
      </c>
      <c r="W477" s="12">
        <f t="shared" si="181"/>
        <v>0</v>
      </c>
      <c r="X477" s="116"/>
      <c r="Y477" s="117">
        <f>+L477+W477</f>
        <v>0</v>
      </c>
      <c r="Z477" s="12"/>
      <c r="AA477" s="12">
        <f>+Y477-Z477</f>
        <v>0</v>
      </c>
      <c r="AB477" s="12"/>
      <c r="AC477" s="12">
        <f>+AA477*AB477/100</f>
        <v>0</v>
      </c>
      <c r="AD477" s="42"/>
      <c r="AE477" s="12"/>
    </row>
    <row r="478" spans="1:31" s="46" customFormat="1" ht="21">
      <c r="A478" s="42" t="s">
        <v>0</v>
      </c>
      <c r="B478" s="42" t="s">
        <v>1</v>
      </c>
      <c r="C478" s="45" t="s">
        <v>1838</v>
      </c>
      <c r="D478" s="45" t="s">
        <v>1840</v>
      </c>
      <c r="E478" s="29" t="s">
        <v>907</v>
      </c>
      <c r="F478" s="47" t="s">
        <v>177</v>
      </c>
      <c r="G478" s="42"/>
      <c r="H478" s="42"/>
      <c r="I478" s="44">
        <v>2.2</v>
      </c>
      <c r="J478" s="44">
        <f t="shared" si="179"/>
        <v>2.2</v>
      </c>
      <c r="K478" s="42">
        <v>12000</v>
      </c>
      <c r="L478" s="42">
        <f t="shared" si="169"/>
        <v>26400.000000000004</v>
      </c>
      <c r="M478" s="42"/>
      <c r="N478" s="42"/>
      <c r="O478" s="104"/>
      <c r="P478" s="45"/>
      <c r="Q478" s="104"/>
      <c r="R478" s="100"/>
      <c r="S478" s="42"/>
      <c r="T478" s="12">
        <f t="shared" si="180"/>
        <v>0</v>
      </c>
      <c r="U478" s="102"/>
      <c r="V478" s="12">
        <f>+T478*0.2</f>
        <v>0</v>
      </c>
      <c r="W478" s="12">
        <f t="shared" si="181"/>
        <v>0</v>
      </c>
      <c r="X478" s="116"/>
      <c r="Y478" s="117">
        <f t="shared" si="177"/>
        <v>26400.000000000004</v>
      </c>
      <c r="Z478" s="12">
        <f>+Y478</f>
        <v>26400.000000000004</v>
      </c>
      <c r="AA478" s="12">
        <f t="shared" si="175"/>
        <v>0</v>
      </c>
      <c r="AB478" s="12"/>
      <c r="AC478" s="12">
        <f t="shared" si="176"/>
        <v>0</v>
      </c>
      <c r="AD478" s="42"/>
      <c r="AE478" s="12"/>
    </row>
    <row r="479" spans="1:31" s="46" customFormat="1" ht="21">
      <c r="A479" s="42" t="s">
        <v>0</v>
      </c>
      <c r="B479" s="42" t="s">
        <v>1</v>
      </c>
      <c r="C479" s="45" t="s">
        <v>1839</v>
      </c>
      <c r="D479" s="113" t="s">
        <v>1841</v>
      </c>
      <c r="E479" s="29" t="s">
        <v>907</v>
      </c>
      <c r="F479" s="47" t="s">
        <v>167</v>
      </c>
      <c r="G479" s="42"/>
      <c r="H479" s="42">
        <v>1</v>
      </c>
      <c r="I479" s="44">
        <v>99.1</v>
      </c>
      <c r="J479" s="44">
        <f t="shared" si="179"/>
        <v>199.1</v>
      </c>
      <c r="K479" s="42">
        <v>12000</v>
      </c>
      <c r="L479" s="42">
        <f t="shared" si="169"/>
        <v>2389200</v>
      </c>
      <c r="M479" s="42"/>
      <c r="N479" s="42" t="s">
        <v>64</v>
      </c>
      <c r="O479" s="104" t="s">
        <v>446</v>
      </c>
      <c r="P479" s="45">
        <v>2</v>
      </c>
      <c r="Q479" s="104">
        <v>71</v>
      </c>
      <c r="R479" s="100"/>
      <c r="S479" s="42">
        <v>6550</v>
      </c>
      <c r="T479" s="12">
        <f t="shared" si="180"/>
        <v>465050</v>
      </c>
      <c r="U479" s="102" t="s">
        <v>74</v>
      </c>
      <c r="V479" s="12">
        <f>+T479*0.36</f>
        <v>167418</v>
      </c>
      <c r="W479" s="12">
        <f t="shared" si="181"/>
        <v>297632</v>
      </c>
      <c r="X479" s="116"/>
      <c r="Y479" s="117">
        <f t="shared" si="177"/>
        <v>2686832</v>
      </c>
      <c r="Z479" s="12">
        <f>+Y479</f>
        <v>2686832</v>
      </c>
      <c r="AA479" s="12">
        <f t="shared" si="175"/>
        <v>0</v>
      </c>
      <c r="AB479" s="12"/>
      <c r="AC479" s="12">
        <f t="shared" si="176"/>
        <v>0</v>
      </c>
      <c r="AD479" s="42" t="s">
        <v>906</v>
      </c>
      <c r="AE479" s="12"/>
    </row>
    <row r="480" spans="1:31" s="46" customFormat="1" ht="21">
      <c r="A480" s="42" t="s">
        <v>0</v>
      </c>
      <c r="B480" s="42"/>
      <c r="C480" s="45"/>
      <c r="D480" s="45"/>
      <c r="E480" s="45"/>
      <c r="F480" s="47"/>
      <c r="G480" s="42"/>
      <c r="H480" s="42"/>
      <c r="I480" s="44"/>
      <c r="J480" s="44">
        <f t="shared" si="179"/>
        <v>0</v>
      </c>
      <c r="K480" s="42"/>
      <c r="L480" s="42">
        <f t="shared" si="169"/>
        <v>0</v>
      </c>
      <c r="M480" s="42"/>
      <c r="N480" s="42" t="s">
        <v>64</v>
      </c>
      <c r="O480" s="104" t="s">
        <v>446</v>
      </c>
      <c r="P480" s="45" t="s">
        <v>143</v>
      </c>
      <c r="Q480" s="104">
        <v>9</v>
      </c>
      <c r="R480" s="100"/>
      <c r="S480" s="42">
        <v>6550</v>
      </c>
      <c r="T480" s="12">
        <f t="shared" si="180"/>
        <v>58950</v>
      </c>
      <c r="U480" s="102" t="s">
        <v>74</v>
      </c>
      <c r="V480" s="12">
        <f>+T480*0.36</f>
        <v>21222</v>
      </c>
      <c r="W480" s="12">
        <f t="shared" si="181"/>
        <v>37728</v>
      </c>
      <c r="X480" s="116"/>
      <c r="Y480" s="117">
        <f t="shared" si="177"/>
        <v>37728</v>
      </c>
      <c r="Z480" s="12"/>
      <c r="AA480" s="12">
        <f t="shared" si="175"/>
        <v>37728</v>
      </c>
      <c r="AB480" s="12">
        <v>0.3</v>
      </c>
      <c r="AC480" s="12">
        <f t="shared" si="176"/>
        <v>113.184</v>
      </c>
      <c r="AD480" s="42"/>
      <c r="AE480" s="12"/>
    </row>
    <row r="481" spans="1:31" s="46" customFormat="1" ht="21">
      <c r="A481" s="42"/>
      <c r="B481" s="42"/>
      <c r="C481" s="45"/>
      <c r="D481" s="45"/>
      <c r="E481" s="45"/>
      <c r="F481" s="47"/>
      <c r="G481" s="42"/>
      <c r="H481" s="42"/>
      <c r="I481" s="44"/>
      <c r="J481" s="44">
        <f t="shared" si="179"/>
        <v>0</v>
      </c>
      <c r="K481" s="42"/>
      <c r="L481" s="42">
        <f t="shared" si="169"/>
        <v>0</v>
      </c>
      <c r="M481" s="42"/>
      <c r="N481" s="42"/>
      <c r="O481" s="42"/>
      <c r="P481" s="31"/>
      <c r="Q481" s="42"/>
      <c r="R481" s="42"/>
      <c r="S481" s="42"/>
      <c r="T481" s="12">
        <f t="shared" si="180"/>
        <v>0</v>
      </c>
      <c r="U481" s="45"/>
      <c r="V481" s="12">
        <f>+T481*0</f>
        <v>0</v>
      </c>
      <c r="W481" s="12">
        <f t="shared" si="181"/>
        <v>0</v>
      </c>
      <c r="X481" s="116"/>
      <c r="Y481" s="117">
        <f t="shared" si="177"/>
        <v>0</v>
      </c>
      <c r="Z481" s="12"/>
      <c r="AA481" s="12">
        <f t="shared" si="175"/>
        <v>0</v>
      </c>
      <c r="AB481" s="12"/>
      <c r="AC481" s="12">
        <f t="shared" si="176"/>
        <v>0</v>
      </c>
      <c r="AD481" s="42"/>
      <c r="AE481" s="12"/>
    </row>
  </sheetData>
  <sheetProtection/>
  <mergeCells count="7">
    <mergeCell ref="A1:Z1"/>
    <mergeCell ref="AA1:AB1"/>
    <mergeCell ref="G4:I4"/>
    <mergeCell ref="G2:L2"/>
    <mergeCell ref="M2:W2"/>
    <mergeCell ref="G3:I3"/>
    <mergeCell ref="U3:V3"/>
  </mergeCells>
  <printOptions/>
  <pageMargins left="0.31496062992125984" right="0.31496062992125984" top="0.7480314960629921" bottom="0.5905511811023623" header="0.31496062992125984" footer="0.31496062992125984"/>
  <pageSetup orientation="landscape" paperSize="5" scale="80" r:id="rId1"/>
  <headerFooter>
    <oddFooter>&amp;Cค..หน้าที่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E76"/>
  <sheetViews>
    <sheetView view="pageBreakPreview" zoomScale="90" zoomScaleNormal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3.57421875" style="52" customWidth="1"/>
    <col min="2" max="2" width="6.8515625" style="52" customWidth="1"/>
    <col min="3" max="3" width="6.8515625" style="53" customWidth="1"/>
    <col min="4" max="4" width="7.00390625" style="54" customWidth="1"/>
    <col min="5" max="5" width="8.00390625" style="52" customWidth="1"/>
    <col min="6" max="6" width="7.140625" style="55" customWidth="1"/>
    <col min="7" max="9" width="3.57421875" style="52" customWidth="1"/>
    <col min="10" max="10" width="6.421875" style="52" customWidth="1"/>
    <col min="11" max="11" width="7.140625" style="56" customWidth="1"/>
    <col min="12" max="12" width="7.8515625" style="52" customWidth="1"/>
    <col min="13" max="13" width="3.421875" style="52" customWidth="1"/>
    <col min="14" max="15" width="9.28125" style="52" customWidth="1"/>
    <col min="16" max="16" width="7.00390625" style="120" customWidth="1"/>
    <col min="17" max="17" width="9.00390625" style="52" customWidth="1"/>
    <col min="18" max="18" width="8.57421875" style="52" customWidth="1"/>
    <col min="19" max="19" width="8.00390625" style="52" customWidth="1"/>
    <col min="20" max="20" width="9.00390625" style="3" customWidth="1"/>
    <col min="21" max="21" width="6.28125" style="58" customWidth="1"/>
    <col min="22" max="23" width="8.28125" style="3" customWidth="1"/>
    <col min="24" max="24" width="9.28125" style="118" customWidth="1"/>
    <col min="25" max="25" width="9.57421875" style="118" customWidth="1"/>
    <col min="26" max="26" width="8.28125" style="3" customWidth="1"/>
    <col min="27" max="27" width="9.140625" style="3" customWidth="1"/>
    <col min="28" max="28" width="5.7109375" style="3" customWidth="1"/>
    <col min="29" max="29" width="8.28125" style="3" hidden="1" customWidth="1"/>
    <col min="30" max="30" width="6.57421875" style="11" hidden="1" customWidth="1"/>
    <col min="31" max="31" width="8.28125" style="3" hidden="1" customWidth="1"/>
    <col min="32" max="16384" width="9.00390625" style="59" customWidth="1"/>
  </cols>
  <sheetData>
    <row r="1" spans="1:230" s="28" customFormat="1" ht="21">
      <c r="A1" s="156" t="s">
        <v>1857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8"/>
      <c r="M1" s="156"/>
      <c r="N1" s="156"/>
      <c r="O1" s="156"/>
      <c r="P1" s="156"/>
      <c r="Q1" s="156"/>
      <c r="R1" s="159"/>
      <c r="S1" s="156"/>
      <c r="T1" s="158"/>
      <c r="U1" s="156"/>
      <c r="V1" s="158"/>
      <c r="W1" s="158"/>
      <c r="X1" s="156"/>
      <c r="Y1" s="158"/>
      <c r="Z1" s="158"/>
      <c r="AA1" s="141" t="s">
        <v>1858</v>
      </c>
      <c r="AB1" s="142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</row>
    <row r="2" spans="1:230" s="32" customFormat="1" ht="21">
      <c r="A2" s="64" t="s">
        <v>0</v>
      </c>
      <c r="B2" s="64"/>
      <c r="C2" s="65"/>
      <c r="D2" s="64"/>
      <c r="E2" s="64"/>
      <c r="F2" s="64"/>
      <c r="G2" s="148" t="s">
        <v>56</v>
      </c>
      <c r="H2" s="148"/>
      <c r="I2" s="148"/>
      <c r="J2" s="149"/>
      <c r="K2" s="149"/>
      <c r="L2" s="150"/>
      <c r="M2" s="151" t="s">
        <v>57</v>
      </c>
      <c r="N2" s="149"/>
      <c r="O2" s="149"/>
      <c r="P2" s="149"/>
      <c r="Q2" s="149"/>
      <c r="R2" s="152"/>
      <c r="S2" s="149"/>
      <c r="T2" s="153"/>
      <c r="U2" s="149"/>
      <c r="V2" s="153"/>
      <c r="W2" s="150"/>
      <c r="X2" s="64" t="s">
        <v>34</v>
      </c>
      <c r="Y2" s="67" t="s">
        <v>31</v>
      </c>
      <c r="Z2" s="68" t="s">
        <v>44</v>
      </c>
      <c r="AA2" s="68" t="s">
        <v>43</v>
      </c>
      <c r="AB2" s="64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</row>
    <row r="3" spans="1:230" s="32" customFormat="1" ht="21.75" customHeight="1">
      <c r="A3" s="37" t="s">
        <v>38</v>
      </c>
      <c r="B3" s="37" t="s">
        <v>42</v>
      </c>
      <c r="C3" s="69" t="s">
        <v>902</v>
      </c>
      <c r="D3" s="37" t="s">
        <v>29</v>
      </c>
      <c r="E3" s="70" t="s">
        <v>903</v>
      </c>
      <c r="F3" s="71" t="s">
        <v>41</v>
      </c>
      <c r="G3" s="154" t="s">
        <v>40</v>
      </c>
      <c r="H3" s="148"/>
      <c r="I3" s="155"/>
      <c r="J3" s="72" t="s">
        <v>39</v>
      </c>
      <c r="K3" s="73" t="s">
        <v>35</v>
      </c>
      <c r="L3" s="107" t="s">
        <v>34</v>
      </c>
      <c r="M3" s="38" t="s">
        <v>38</v>
      </c>
      <c r="N3" s="33" t="s">
        <v>37</v>
      </c>
      <c r="O3" s="34" t="s">
        <v>41</v>
      </c>
      <c r="P3" s="35" t="s">
        <v>41</v>
      </c>
      <c r="Q3" s="62" t="s">
        <v>36</v>
      </c>
      <c r="R3" s="74" t="s">
        <v>22</v>
      </c>
      <c r="S3" s="37" t="s">
        <v>35</v>
      </c>
      <c r="T3" s="36" t="s">
        <v>34</v>
      </c>
      <c r="U3" s="143" t="s">
        <v>11</v>
      </c>
      <c r="V3" s="144"/>
      <c r="W3" s="36" t="s">
        <v>31</v>
      </c>
      <c r="X3" s="38" t="s">
        <v>33</v>
      </c>
      <c r="Y3" s="75" t="s">
        <v>1859</v>
      </c>
      <c r="Z3" s="39" t="s">
        <v>32</v>
      </c>
      <c r="AA3" s="39" t="s">
        <v>31</v>
      </c>
      <c r="AB3" s="38" t="s">
        <v>30</v>
      </c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</row>
    <row r="4" spans="1:230" s="32" customFormat="1" ht="36" customHeight="1">
      <c r="A4" s="37" t="s">
        <v>0</v>
      </c>
      <c r="B4" s="37" t="s">
        <v>58</v>
      </c>
      <c r="C4" s="69" t="s">
        <v>904</v>
      </c>
      <c r="D4" s="37"/>
      <c r="E4" s="70" t="s">
        <v>1860</v>
      </c>
      <c r="F4" s="71" t="s">
        <v>905</v>
      </c>
      <c r="G4" s="145" t="s">
        <v>28</v>
      </c>
      <c r="H4" s="146"/>
      <c r="I4" s="147"/>
      <c r="J4" s="77" t="s">
        <v>27</v>
      </c>
      <c r="K4" s="78" t="s">
        <v>25</v>
      </c>
      <c r="L4" s="36" t="s">
        <v>24</v>
      </c>
      <c r="M4" s="38"/>
      <c r="N4" s="37" t="s">
        <v>9</v>
      </c>
      <c r="O4" s="34" t="s">
        <v>9</v>
      </c>
      <c r="P4" s="35" t="s">
        <v>905</v>
      </c>
      <c r="Q4" s="62" t="s">
        <v>26</v>
      </c>
      <c r="R4" s="74" t="s">
        <v>1861</v>
      </c>
      <c r="S4" s="37" t="s">
        <v>1862</v>
      </c>
      <c r="T4" s="37" t="s">
        <v>9</v>
      </c>
      <c r="U4" s="37" t="s">
        <v>23</v>
      </c>
      <c r="V4" s="36" t="s">
        <v>22</v>
      </c>
      <c r="W4" s="36" t="s">
        <v>9</v>
      </c>
      <c r="X4" s="38" t="s">
        <v>21</v>
      </c>
      <c r="Y4" s="75" t="s">
        <v>9</v>
      </c>
      <c r="Z4" s="39" t="s">
        <v>20</v>
      </c>
      <c r="AA4" s="39" t="s">
        <v>19</v>
      </c>
      <c r="AB4" s="38" t="s">
        <v>18</v>
      </c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</row>
    <row r="5" spans="1:230" s="32" customFormat="1" ht="18.75" customHeight="1">
      <c r="A5" s="37" t="s">
        <v>0</v>
      </c>
      <c r="B5" s="37"/>
      <c r="C5" s="69"/>
      <c r="D5" s="37"/>
      <c r="E5" s="71" t="s">
        <v>1863</v>
      </c>
      <c r="F5" s="79" t="s">
        <v>17</v>
      </c>
      <c r="G5" s="64"/>
      <c r="H5" s="64"/>
      <c r="I5" s="64"/>
      <c r="J5" s="77" t="s">
        <v>16</v>
      </c>
      <c r="K5" s="78" t="s">
        <v>15</v>
      </c>
      <c r="L5" s="36" t="s">
        <v>58</v>
      </c>
      <c r="M5" s="38"/>
      <c r="N5" s="38"/>
      <c r="O5" s="37"/>
      <c r="P5" s="35" t="s">
        <v>17</v>
      </c>
      <c r="Q5" s="39" t="s">
        <v>14</v>
      </c>
      <c r="R5" s="74" t="s">
        <v>1864</v>
      </c>
      <c r="S5" s="38" t="s">
        <v>1865</v>
      </c>
      <c r="T5" s="36"/>
      <c r="U5" s="34" t="s">
        <v>12</v>
      </c>
      <c r="V5" s="36" t="s">
        <v>11</v>
      </c>
      <c r="W5" s="62" t="s">
        <v>10</v>
      </c>
      <c r="X5" s="38" t="s">
        <v>9</v>
      </c>
      <c r="Y5" s="75" t="s">
        <v>1866</v>
      </c>
      <c r="Z5" s="39" t="s">
        <v>8</v>
      </c>
      <c r="AA5" s="39" t="s">
        <v>1867</v>
      </c>
      <c r="AB5" s="38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</row>
    <row r="6" spans="1:230" s="32" customFormat="1" ht="21">
      <c r="A6" s="38" t="s">
        <v>0</v>
      </c>
      <c r="B6" s="38"/>
      <c r="C6" s="80"/>
      <c r="D6" s="38"/>
      <c r="E6" s="82"/>
      <c r="F6" s="82"/>
      <c r="G6" s="38" t="s">
        <v>7</v>
      </c>
      <c r="H6" s="38" t="s">
        <v>6</v>
      </c>
      <c r="I6" s="38" t="s">
        <v>59</v>
      </c>
      <c r="J6" s="77"/>
      <c r="K6" s="83" t="s">
        <v>3</v>
      </c>
      <c r="L6" s="39" t="s">
        <v>3</v>
      </c>
      <c r="M6" s="38"/>
      <c r="N6" s="84"/>
      <c r="O6" s="38"/>
      <c r="P6" s="40"/>
      <c r="Q6" s="39"/>
      <c r="R6" s="74" t="s">
        <v>17</v>
      </c>
      <c r="S6" s="38" t="s">
        <v>3</v>
      </c>
      <c r="T6" s="39" t="s">
        <v>3</v>
      </c>
      <c r="U6" s="38" t="s">
        <v>5</v>
      </c>
      <c r="V6" s="39" t="s">
        <v>3</v>
      </c>
      <c r="W6" s="39" t="s">
        <v>3</v>
      </c>
      <c r="X6" s="38" t="s">
        <v>3</v>
      </c>
      <c r="Y6" s="85" t="s">
        <v>1868</v>
      </c>
      <c r="Z6" s="39" t="s">
        <v>3</v>
      </c>
      <c r="AA6" s="39" t="s">
        <v>1869</v>
      </c>
      <c r="AB6" s="86" t="s">
        <v>4</v>
      </c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</row>
    <row r="7" spans="1:239" s="41" customFormat="1" ht="21">
      <c r="A7" s="38" t="s">
        <v>0</v>
      </c>
      <c r="B7" s="87"/>
      <c r="C7" s="88"/>
      <c r="D7" s="94"/>
      <c r="E7" s="90"/>
      <c r="F7" s="91"/>
      <c r="G7" s="87"/>
      <c r="H7" s="87"/>
      <c r="I7" s="87"/>
      <c r="J7" s="92"/>
      <c r="K7" s="93"/>
      <c r="L7" s="108"/>
      <c r="M7" s="87"/>
      <c r="N7" s="87"/>
      <c r="O7" s="87"/>
      <c r="P7" s="95"/>
      <c r="Q7" s="87"/>
      <c r="R7" s="96" t="s">
        <v>4</v>
      </c>
      <c r="S7" s="97"/>
      <c r="T7" s="98"/>
      <c r="U7" s="87"/>
      <c r="V7" s="98"/>
      <c r="W7" s="98"/>
      <c r="X7" s="87"/>
      <c r="Y7" s="99" t="s">
        <v>3</v>
      </c>
      <c r="Z7" s="98"/>
      <c r="AA7" s="99" t="s">
        <v>3</v>
      </c>
      <c r="AB7" s="87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IC7" s="32"/>
      <c r="ID7" s="32"/>
      <c r="IE7" s="32"/>
    </row>
    <row r="8" spans="1:31" s="46" customFormat="1" ht="21">
      <c r="A8" s="42" t="s">
        <v>0</v>
      </c>
      <c r="B8" s="42" t="s">
        <v>1</v>
      </c>
      <c r="C8" s="45">
        <v>7632</v>
      </c>
      <c r="D8" s="45" t="s">
        <v>527</v>
      </c>
      <c r="E8" s="10" t="s">
        <v>909</v>
      </c>
      <c r="F8" s="45" t="s">
        <v>137</v>
      </c>
      <c r="G8" s="42"/>
      <c r="H8" s="42"/>
      <c r="I8" s="44">
        <v>16.8</v>
      </c>
      <c r="J8" s="44">
        <f aca="true" t="shared" si="0" ref="J8:J14">+I8+(H8*100)+(G8*400)</f>
        <v>16.8</v>
      </c>
      <c r="K8" s="42">
        <v>15000</v>
      </c>
      <c r="L8" s="42">
        <f aca="true" t="shared" si="1" ref="L8:L51">+K8*J8</f>
        <v>252000</v>
      </c>
      <c r="M8" s="42"/>
      <c r="N8" s="42" t="s">
        <v>62</v>
      </c>
      <c r="O8" s="101" t="s">
        <v>446</v>
      </c>
      <c r="P8" s="45" t="s">
        <v>137</v>
      </c>
      <c r="Q8" s="100">
        <v>80</v>
      </c>
      <c r="R8" s="100"/>
      <c r="S8" s="42">
        <v>6750</v>
      </c>
      <c r="T8" s="12">
        <f aca="true" t="shared" si="2" ref="T8:T14">+Q8*S8</f>
        <v>540000</v>
      </c>
      <c r="U8" s="102" t="s">
        <v>84</v>
      </c>
      <c r="V8" s="12">
        <f aca="true" t="shared" si="3" ref="V8:V13">+T8*0.2</f>
        <v>108000</v>
      </c>
      <c r="W8" s="12">
        <f aca="true" t="shared" si="4" ref="W8:W14">+T8-V8</f>
        <v>432000</v>
      </c>
      <c r="X8" s="116"/>
      <c r="Y8" s="117">
        <f aca="true" t="shared" si="5" ref="Y8:Y48">+L8+W8</f>
        <v>684000</v>
      </c>
      <c r="Z8" s="12"/>
      <c r="AA8" s="12">
        <f aca="true" t="shared" si="6" ref="AA8:AA51">+Y8-Z8</f>
        <v>684000</v>
      </c>
      <c r="AB8" s="12">
        <v>0.02</v>
      </c>
      <c r="AC8" s="12">
        <f aca="true" t="shared" si="7" ref="AC8:AC51">+AA8*AB8/100</f>
        <v>136.8</v>
      </c>
      <c r="AD8" s="42"/>
      <c r="AE8" s="12"/>
    </row>
    <row r="9" spans="1:31" s="46" customFormat="1" ht="21">
      <c r="A9" s="42" t="s">
        <v>0</v>
      </c>
      <c r="B9" s="42" t="s">
        <v>1</v>
      </c>
      <c r="C9" s="45">
        <v>7615</v>
      </c>
      <c r="D9" s="45" t="s">
        <v>528</v>
      </c>
      <c r="E9" s="10" t="s">
        <v>909</v>
      </c>
      <c r="F9" s="45" t="s">
        <v>137</v>
      </c>
      <c r="G9" s="42"/>
      <c r="H9" s="42"/>
      <c r="I9" s="44">
        <v>16</v>
      </c>
      <c r="J9" s="44">
        <f t="shared" si="0"/>
        <v>16</v>
      </c>
      <c r="K9" s="42">
        <v>15000</v>
      </c>
      <c r="L9" s="42">
        <f t="shared" si="1"/>
        <v>240000</v>
      </c>
      <c r="M9" s="42"/>
      <c r="N9" s="42" t="s">
        <v>62</v>
      </c>
      <c r="O9" s="101" t="s">
        <v>446</v>
      </c>
      <c r="P9" s="45" t="s">
        <v>137</v>
      </c>
      <c r="Q9" s="100">
        <v>80</v>
      </c>
      <c r="R9" s="100"/>
      <c r="S9" s="42">
        <v>6750</v>
      </c>
      <c r="T9" s="12">
        <f t="shared" si="2"/>
        <v>540000</v>
      </c>
      <c r="U9" s="102" t="s">
        <v>84</v>
      </c>
      <c r="V9" s="12">
        <f t="shared" si="3"/>
        <v>108000</v>
      </c>
      <c r="W9" s="12">
        <f t="shared" si="4"/>
        <v>432000</v>
      </c>
      <c r="X9" s="116"/>
      <c r="Y9" s="117">
        <f t="shared" si="5"/>
        <v>672000</v>
      </c>
      <c r="Z9" s="12"/>
      <c r="AA9" s="12">
        <f t="shared" si="6"/>
        <v>672000</v>
      </c>
      <c r="AB9" s="12">
        <v>0.02</v>
      </c>
      <c r="AC9" s="12">
        <f t="shared" si="7"/>
        <v>134.4</v>
      </c>
      <c r="AD9" s="42"/>
      <c r="AE9" s="12"/>
    </row>
    <row r="10" spans="1:31" s="46" customFormat="1" ht="21">
      <c r="A10" s="42" t="s">
        <v>0</v>
      </c>
      <c r="B10" s="42" t="s">
        <v>1</v>
      </c>
      <c r="C10" s="45">
        <v>8808</v>
      </c>
      <c r="D10" s="51" t="s">
        <v>529</v>
      </c>
      <c r="E10" s="10" t="s">
        <v>909</v>
      </c>
      <c r="F10" s="45" t="s">
        <v>137</v>
      </c>
      <c r="G10" s="42"/>
      <c r="H10" s="42"/>
      <c r="I10" s="44">
        <v>44.6</v>
      </c>
      <c r="J10" s="44">
        <f t="shared" si="0"/>
        <v>44.6</v>
      </c>
      <c r="K10" s="42">
        <v>12000</v>
      </c>
      <c r="L10" s="42">
        <f t="shared" si="1"/>
        <v>535200</v>
      </c>
      <c r="M10" s="42"/>
      <c r="N10" s="42" t="s">
        <v>64</v>
      </c>
      <c r="O10" s="101" t="s">
        <v>446</v>
      </c>
      <c r="P10" s="45" t="s">
        <v>137</v>
      </c>
      <c r="Q10" s="100">
        <v>101.4</v>
      </c>
      <c r="R10" s="100"/>
      <c r="S10" s="42">
        <v>6550</v>
      </c>
      <c r="T10" s="12">
        <f t="shared" si="2"/>
        <v>664170</v>
      </c>
      <c r="U10" s="102" t="s">
        <v>84</v>
      </c>
      <c r="V10" s="12">
        <f t="shared" si="3"/>
        <v>132834</v>
      </c>
      <c r="W10" s="12">
        <f t="shared" si="4"/>
        <v>531336</v>
      </c>
      <c r="X10" s="116"/>
      <c r="Y10" s="117">
        <f t="shared" si="5"/>
        <v>1066536</v>
      </c>
      <c r="Z10" s="12"/>
      <c r="AA10" s="12">
        <f t="shared" si="6"/>
        <v>1066536</v>
      </c>
      <c r="AB10" s="12">
        <v>0.02</v>
      </c>
      <c r="AC10" s="12">
        <f t="shared" si="7"/>
        <v>213.30720000000002</v>
      </c>
      <c r="AD10" s="42"/>
      <c r="AE10" s="12"/>
    </row>
    <row r="11" spans="1:31" s="46" customFormat="1" ht="21">
      <c r="A11" s="42" t="s">
        <v>0</v>
      </c>
      <c r="B11" s="42" t="s">
        <v>1</v>
      </c>
      <c r="C11" s="45">
        <v>7247</v>
      </c>
      <c r="D11" s="45" t="s">
        <v>530</v>
      </c>
      <c r="E11" s="10" t="s">
        <v>909</v>
      </c>
      <c r="F11" s="45" t="s">
        <v>137</v>
      </c>
      <c r="G11" s="42"/>
      <c r="H11" s="42"/>
      <c r="I11" s="44">
        <v>54.8</v>
      </c>
      <c r="J11" s="44">
        <f t="shared" si="0"/>
        <v>54.8</v>
      </c>
      <c r="K11" s="42">
        <v>12000</v>
      </c>
      <c r="L11" s="42">
        <f t="shared" si="1"/>
        <v>657600</v>
      </c>
      <c r="M11" s="42"/>
      <c r="N11" s="42" t="s">
        <v>64</v>
      </c>
      <c r="O11" s="101" t="s">
        <v>446</v>
      </c>
      <c r="P11" s="45" t="s">
        <v>137</v>
      </c>
      <c r="Q11" s="100">
        <v>48</v>
      </c>
      <c r="R11" s="100"/>
      <c r="S11" s="42">
        <v>6550</v>
      </c>
      <c r="T11" s="12">
        <f t="shared" si="2"/>
        <v>314400</v>
      </c>
      <c r="U11" s="102" t="s">
        <v>84</v>
      </c>
      <c r="V11" s="12">
        <f t="shared" si="3"/>
        <v>62880</v>
      </c>
      <c r="W11" s="12">
        <f t="shared" si="4"/>
        <v>251520</v>
      </c>
      <c r="X11" s="116"/>
      <c r="Y11" s="117">
        <f t="shared" si="5"/>
        <v>909120</v>
      </c>
      <c r="Z11" s="12"/>
      <c r="AA11" s="12">
        <f t="shared" si="6"/>
        <v>909120</v>
      </c>
      <c r="AB11" s="12">
        <v>0.02</v>
      </c>
      <c r="AC11" s="12">
        <f t="shared" si="7"/>
        <v>181.824</v>
      </c>
      <c r="AD11" s="42"/>
      <c r="AE11" s="12"/>
    </row>
    <row r="12" spans="1:31" s="46" customFormat="1" ht="21">
      <c r="A12" s="42" t="s">
        <v>0</v>
      </c>
      <c r="B12" s="42" t="s">
        <v>1</v>
      </c>
      <c r="C12" s="45">
        <v>28991</v>
      </c>
      <c r="D12" s="45" t="s">
        <v>531</v>
      </c>
      <c r="E12" s="29" t="s">
        <v>907</v>
      </c>
      <c r="F12" s="45" t="s">
        <v>137</v>
      </c>
      <c r="G12" s="42"/>
      <c r="H12" s="42"/>
      <c r="I12" s="44">
        <v>51.1</v>
      </c>
      <c r="J12" s="44">
        <f t="shared" si="0"/>
        <v>51.1</v>
      </c>
      <c r="K12" s="42">
        <v>10000</v>
      </c>
      <c r="L12" s="42">
        <f>+K12*J12</f>
        <v>511000</v>
      </c>
      <c r="M12" s="42"/>
      <c r="N12" s="42" t="s">
        <v>64</v>
      </c>
      <c r="O12" s="101" t="s">
        <v>446</v>
      </c>
      <c r="P12" s="45" t="s">
        <v>137</v>
      </c>
      <c r="Q12" s="100">
        <v>48</v>
      </c>
      <c r="R12" s="100"/>
      <c r="S12" s="42">
        <v>6550</v>
      </c>
      <c r="T12" s="12">
        <f t="shared" si="2"/>
        <v>314400</v>
      </c>
      <c r="U12" s="102" t="s">
        <v>84</v>
      </c>
      <c r="V12" s="12">
        <f t="shared" si="3"/>
        <v>62880</v>
      </c>
      <c r="W12" s="12">
        <f t="shared" si="4"/>
        <v>251520</v>
      </c>
      <c r="X12" s="116"/>
      <c r="Y12" s="117">
        <f t="shared" si="5"/>
        <v>762520</v>
      </c>
      <c r="Z12" s="12"/>
      <c r="AA12" s="12">
        <f>+Y12-Z12</f>
        <v>762520</v>
      </c>
      <c r="AB12" s="12">
        <v>0.02</v>
      </c>
      <c r="AC12" s="12">
        <f>+AA12*AB12/100</f>
        <v>152.504</v>
      </c>
      <c r="AD12" s="42"/>
      <c r="AE12" s="12"/>
    </row>
    <row r="13" spans="1:31" s="46" customFormat="1" ht="21">
      <c r="A13" s="42" t="s">
        <v>0</v>
      </c>
      <c r="B13" s="42" t="s">
        <v>1</v>
      </c>
      <c r="C13" s="45">
        <v>32441</v>
      </c>
      <c r="D13" s="51" t="s">
        <v>532</v>
      </c>
      <c r="E13" s="29" t="s">
        <v>907</v>
      </c>
      <c r="F13" s="45" t="s">
        <v>137</v>
      </c>
      <c r="G13" s="42"/>
      <c r="H13" s="42"/>
      <c r="I13" s="44">
        <v>42.3</v>
      </c>
      <c r="J13" s="44">
        <f t="shared" si="0"/>
        <v>42.3</v>
      </c>
      <c r="K13" s="42">
        <v>15000</v>
      </c>
      <c r="L13" s="42">
        <f>+K13*J13</f>
        <v>634500</v>
      </c>
      <c r="M13" s="42"/>
      <c r="N13" s="42" t="s">
        <v>62</v>
      </c>
      <c r="O13" s="101" t="s">
        <v>446</v>
      </c>
      <c r="P13" s="45" t="s">
        <v>137</v>
      </c>
      <c r="Q13" s="100">
        <v>96</v>
      </c>
      <c r="R13" s="100"/>
      <c r="S13" s="42">
        <v>6750</v>
      </c>
      <c r="T13" s="12">
        <f t="shared" si="2"/>
        <v>648000</v>
      </c>
      <c r="U13" s="102" t="s">
        <v>84</v>
      </c>
      <c r="V13" s="12">
        <f t="shared" si="3"/>
        <v>129600</v>
      </c>
      <c r="W13" s="12">
        <f t="shared" si="4"/>
        <v>518400</v>
      </c>
      <c r="X13" s="116"/>
      <c r="Y13" s="117">
        <f t="shared" si="5"/>
        <v>1152900</v>
      </c>
      <c r="Z13" s="12"/>
      <c r="AA13" s="12">
        <f>+Y13-Z13</f>
        <v>1152900</v>
      </c>
      <c r="AB13" s="12">
        <v>0.02</v>
      </c>
      <c r="AC13" s="12">
        <f>+AA13*AB13/100</f>
        <v>230.58</v>
      </c>
      <c r="AD13" s="42"/>
      <c r="AE13" s="12"/>
    </row>
    <row r="14" spans="1:31" s="46" customFormat="1" ht="21">
      <c r="A14" s="42"/>
      <c r="B14" s="42"/>
      <c r="C14" s="45"/>
      <c r="D14" s="31"/>
      <c r="E14" s="31"/>
      <c r="F14" s="45"/>
      <c r="G14" s="42"/>
      <c r="H14" s="42"/>
      <c r="I14" s="44"/>
      <c r="J14" s="44">
        <f t="shared" si="0"/>
        <v>0</v>
      </c>
      <c r="K14" s="42"/>
      <c r="L14" s="42">
        <f>+K14*J14</f>
        <v>0</v>
      </c>
      <c r="M14" s="42"/>
      <c r="N14" s="42"/>
      <c r="O14" s="42"/>
      <c r="P14" s="31"/>
      <c r="Q14" s="42"/>
      <c r="R14" s="42"/>
      <c r="S14" s="42"/>
      <c r="T14" s="12">
        <f t="shared" si="2"/>
        <v>0</v>
      </c>
      <c r="U14" s="45"/>
      <c r="V14" s="12">
        <f>+T14*0</f>
        <v>0</v>
      </c>
      <c r="W14" s="12">
        <f t="shared" si="4"/>
        <v>0</v>
      </c>
      <c r="X14" s="116"/>
      <c r="Y14" s="117">
        <f t="shared" si="5"/>
        <v>0</v>
      </c>
      <c r="Z14" s="12"/>
      <c r="AA14" s="12">
        <f>+Y14-Z14</f>
        <v>0</v>
      </c>
      <c r="AB14" s="12"/>
      <c r="AC14" s="12">
        <f>+AA14*AB14/100</f>
        <v>0</v>
      </c>
      <c r="AD14" s="42"/>
      <c r="AE14" s="12"/>
    </row>
    <row r="15" spans="1:31" s="46" customFormat="1" ht="21">
      <c r="A15" s="42" t="s">
        <v>0</v>
      </c>
      <c r="B15" s="42" t="s">
        <v>1</v>
      </c>
      <c r="C15" s="45" t="s">
        <v>913</v>
      </c>
      <c r="D15" s="45" t="s">
        <v>533</v>
      </c>
      <c r="E15" s="30" t="s">
        <v>908</v>
      </c>
      <c r="F15" s="47" t="s">
        <v>137</v>
      </c>
      <c r="G15" s="42"/>
      <c r="H15" s="42"/>
      <c r="I15" s="44">
        <v>16.2</v>
      </c>
      <c r="J15" s="44">
        <f aca="true" t="shared" si="8" ref="J15:J46">+I15+(H15*100)+(G15*400)</f>
        <v>16.2</v>
      </c>
      <c r="K15" s="42">
        <v>40000</v>
      </c>
      <c r="L15" s="42">
        <f t="shared" si="1"/>
        <v>648000</v>
      </c>
      <c r="M15" s="42"/>
      <c r="N15" s="42" t="s">
        <v>60</v>
      </c>
      <c r="O15" s="101" t="s">
        <v>446</v>
      </c>
      <c r="P15" s="45" t="s">
        <v>137</v>
      </c>
      <c r="Q15" s="100">
        <v>120</v>
      </c>
      <c r="R15" s="100"/>
      <c r="S15" s="42">
        <v>7550</v>
      </c>
      <c r="T15" s="12">
        <f aca="true" t="shared" si="9" ref="T15:T46">+Q15*S15</f>
        <v>906000</v>
      </c>
      <c r="U15" s="102" t="s">
        <v>84</v>
      </c>
      <c r="V15" s="12">
        <f>+T15*0.2</f>
        <v>181200</v>
      </c>
      <c r="W15" s="12">
        <f aca="true" t="shared" si="10" ref="W15:W46">+T15-V15</f>
        <v>724800</v>
      </c>
      <c r="X15" s="116"/>
      <c r="Y15" s="117">
        <f t="shared" si="5"/>
        <v>1372800</v>
      </c>
      <c r="Z15" s="12"/>
      <c r="AA15" s="12">
        <f t="shared" si="6"/>
        <v>1372800</v>
      </c>
      <c r="AB15" s="12">
        <v>0.02</v>
      </c>
      <c r="AC15" s="12">
        <f t="shared" si="7"/>
        <v>274.56</v>
      </c>
      <c r="AD15" s="42"/>
      <c r="AE15" s="12"/>
    </row>
    <row r="16" spans="1:31" s="46" customFormat="1" ht="21">
      <c r="A16" s="42"/>
      <c r="B16" s="42"/>
      <c r="C16" s="45"/>
      <c r="D16" s="31"/>
      <c r="E16" s="31"/>
      <c r="F16" s="47"/>
      <c r="G16" s="42"/>
      <c r="H16" s="42"/>
      <c r="I16" s="44"/>
      <c r="J16" s="44">
        <f t="shared" si="8"/>
        <v>0</v>
      </c>
      <c r="K16" s="42"/>
      <c r="L16" s="42">
        <f t="shared" si="1"/>
        <v>0</v>
      </c>
      <c r="M16" s="42"/>
      <c r="N16" s="42"/>
      <c r="O16" s="100"/>
      <c r="P16" s="31"/>
      <c r="Q16" s="100"/>
      <c r="R16" s="100"/>
      <c r="S16" s="42"/>
      <c r="T16" s="12">
        <f t="shared" si="9"/>
        <v>0</v>
      </c>
      <c r="U16" s="45"/>
      <c r="V16" s="12">
        <f>+T16*0</f>
        <v>0</v>
      </c>
      <c r="W16" s="12">
        <f t="shared" si="10"/>
        <v>0</v>
      </c>
      <c r="X16" s="116"/>
      <c r="Y16" s="117">
        <f t="shared" si="5"/>
        <v>0</v>
      </c>
      <c r="Z16" s="12"/>
      <c r="AA16" s="12">
        <f t="shared" si="6"/>
        <v>0</v>
      </c>
      <c r="AB16" s="12"/>
      <c r="AC16" s="12">
        <f t="shared" si="7"/>
        <v>0</v>
      </c>
      <c r="AD16" s="42"/>
      <c r="AE16" s="12"/>
    </row>
    <row r="17" spans="1:31" s="46" customFormat="1" ht="21">
      <c r="A17" s="42"/>
      <c r="B17" s="42"/>
      <c r="C17" s="45"/>
      <c r="D17" s="31"/>
      <c r="E17" s="31"/>
      <c r="F17" s="47"/>
      <c r="G17" s="42"/>
      <c r="H17" s="42"/>
      <c r="I17" s="44"/>
      <c r="J17" s="44">
        <f t="shared" si="8"/>
        <v>0</v>
      </c>
      <c r="K17" s="42"/>
      <c r="L17" s="42">
        <f t="shared" si="1"/>
        <v>0</v>
      </c>
      <c r="M17" s="42"/>
      <c r="N17" s="42"/>
      <c r="O17" s="42"/>
      <c r="P17" s="31"/>
      <c r="Q17" s="42"/>
      <c r="R17" s="42"/>
      <c r="S17" s="42"/>
      <c r="T17" s="12">
        <f t="shared" si="9"/>
        <v>0</v>
      </c>
      <c r="U17" s="45"/>
      <c r="V17" s="12">
        <f>+T17*0</f>
        <v>0</v>
      </c>
      <c r="W17" s="12">
        <f t="shared" si="10"/>
        <v>0</v>
      </c>
      <c r="X17" s="116"/>
      <c r="Y17" s="117">
        <f t="shared" si="5"/>
        <v>0</v>
      </c>
      <c r="Z17" s="12"/>
      <c r="AA17" s="12">
        <f t="shared" si="6"/>
        <v>0</v>
      </c>
      <c r="AB17" s="12"/>
      <c r="AC17" s="12">
        <f t="shared" si="7"/>
        <v>0</v>
      </c>
      <c r="AD17" s="42"/>
      <c r="AE17" s="12"/>
    </row>
    <row r="18" spans="1:31" s="46" customFormat="1" ht="21">
      <c r="A18" s="42" t="s">
        <v>0</v>
      </c>
      <c r="B18" s="42" t="s">
        <v>1</v>
      </c>
      <c r="C18" s="45" t="s">
        <v>914</v>
      </c>
      <c r="D18" s="45" t="s">
        <v>534</v>
      </c>
      <c r="E18" s="29" t="s">
        <v>907</v>
      </c>
      <c r="F18" s="47">
        <v>5</v>
      </c>
      <c r="G18" s="42"/>
      <c r="H18" s="42"/>
      <c r="I18" s="44">
        <v>49.1</v>
      </c>
      <c r="J18" s="44">
        <f t="shared" si="8"/>
        <v>49.1</v>
      </c>
      <c r="K18" s="42">
        <v>15000</v>
      </c>
      <c r="L18" s="42">
        <f t="shared" si="1"/>
        <v>736500</v>
      </c>
      <c r="M18" s="42">
        <v>1</v>
      </c>
      <c r="N18" s="42" t="s">
        <v>60</v>
      </c>
      <c r="O18" s="101" t="s">
        <v>446</v>
      </c>
      <c r="P18" s="45" t="s">
        <v>137</v>
      </c>
      <c r="Q18" s="100">
        <v>24</v>
      </c>
      <c r="R18" s="103">
        <v>16.67</v>
      </c>
      <c r="S18" s="42">
        <v>7550</v>
      </c>
      <c r="T18" s="12">
        <f t="shared" si="9"/>
        <v>181200</v>
      </c>
      <c r="U18" s="102" t="s">
        <v>84</v>
      </c>
      <c r="V18" s="12">
        <f>+T18*0.2</f>
        <v>36240</v>
      </c>
      <c r="W18" s="12">
        <f t="shared" si="10"/>
        <v>144960</v>
      </c>
      <c r="X18" s="116"/>
      <c r="Y18" s="117">
        <f>+L18*(R18/100)+W18</f>
        <v>267734.55000000005</v>
      </c>
      <c r="Z18" s="12"/>
      <c r="AA18" s="12">
        <f>+Y18-Z18</f>
        <v>267734.55000000005</v>
      </c>
      <c r="AB18" s="12">
        <v>0.02</v>
      </c>
      <c r="AC18" s="12">
        <f>+AA18*AB18/100</f>
        <v>53.546910000000004</v>
      </c>
      <c r="AD18" s="42"/>
      <c r="AE18" s="12"/>
    </row>
    <row r="19" spans="1:31" s="46" customFormat="1" ht="21">
      <c r="A19" s="42" t="s">
        <v>0</v>
      </c>
      <c r="B19" s="42"/>
      <c r="C19" s="45"/>
      <c r="D19" s="45"/>
      <c r="E19" s="31"/>
      <c r="F19" s="47"/>
      <c r="G19" s="42"/>
      <c r="H19" s="42"/>
      <c r="I19" s="44"/>
      <c r="J19" s="44">
        <f t="shared" si="8"/>
        <v>0</v>
      </c>
      <c r="K19" s="42"/>
      <c r="L19" s="42">
        <f>+K19*J19</f>
        <v>0</v>
      </c>
      <c r="M19" s="42">
        <v>2</v>
      </c>
      <c r="N19" s="42" t="s">
        <v>60</v>
      </c>
      <c r="O19" s="101" t="s">
        <v>446</v>
      </c>
      <c r="P19" s="45">
        <v>3</v>
      </c>
      <c r="Q19" s="100">
        <f>48+24+48</f>
        <v>120</v>
      </c>
      <c r="R19" s="103">
        <v>83.33</v>
      </c>
      <c r="S19" s="42">
        <v>7550</v>
      </c>
      <c r="T19" s="12">
        <f t="shared" si="9"/>
        <v>906000</v>
      </c>
      <c r="U19" s="102" t="s">
        <v>84</v>
      </c>
      <c r="V19" s="12">
        <f>+T19*0.2</f>
        <v>181200</v>
      </c>
      <c r="W19" s="12">
        <f t="shared" si="10"/>
        <v>724800</v>
      </c>
      <c r="X19" s="116"/>
      <c r="Y19" s="117">
        <f>+L18*(R19/100)+W19</f>
        <v>1338525.45</v>
      </c>
      <c r="Z19" s="12"/>
      <c r="AA19" s="12">
        <f>+Y19-Z19</f>
        <v>1338525.45</v>
      </c>
      <c r="AB19" s="12">
        <v>0.3</v>
      </c>
      <c r="AC19" s="12">
        <f>+AA19*AB19/100</f>
        <v>4015.5763499999994</v>
      </c>
      <c r="AD19" s="42"/>
      <c r="AE19" s="12"/>
    </row>
    <row r="20" spans="1:31" s="46" customFormat="1" ht="21">
      <c r="A20" s="42" t="s">
        <v>0</v>
      </c>
      <c r="B20" s="42" t="s">
        <v>1</v>
      </c>
      <c r="C20" s="45" t="s">
        <v>915</v>
      </c>
      <c r="D20" s="45" t="s">
        <v>535</v>
      </c>
      <c r="E20" s="29" t="s">
        <v>907</v>
      </c>
      <c r="F20" s="47">
        <v>3</v>
      </c>
      <c r="G20" s="42"/>
      <c r="H20" s="42"/>
      <c r="I20" s="44">
        <v>35.5</v>
      </c>
      <c r="J20" s="44">
        <f t="shared" si="8"/>
        <v>35.5</v>
      </c>
      <c r="K20" s="42">
        <v>15000</v>
      </c>
      <c r="L20" s="42">
        <f t="shared" si="1"/>
        <v>532500</v>
      </c>
      <c r="M20" s="42"/>
      <c r="N20" s="42" t="s">
        <v>60</v>
      </c>
      <c r="O20" s="101" t="s">
        <v>446</v>
      </c>
      <c r="P20" s="45">
        <v>3</v>
      </c>
      <c r="Q20" s="100">
        <v>75</v>
      </c>
      <c r="R20" s="100"/>
      <c r="S20" s="42">
        <v>7550</v>
      </c>
      <c r="T20" s="12">
        <f t="shared" si="9"/>
        <v>566250</v>
      </c>
      <c r="U20" s="102" t="s">
        <v>84</v>
      </c>
      <c r="V20" s="12">
        <f>+T20*0.2</f>
        <v>113250</v>
      </c>
      <c r="W20" s="12">
        <f t="shared" si="10"/>
        <v>453000</v>
      </c>
      <c r="X20" s="116"/>
      <c r="Y20" s="117">
        <f t="shared" si="5"/>
        <v>985500</v>
      </c>
      <c r="Z20" s="12"/>
      <c r="AA20" s="12">
        <f>+Y20-Z20</f>
        <v>985500</v>
      </c>
      <c r="AB20" s="12">
        <v>0.3</v>
      </c>
      <c r="AC20" s="12">
        <f>+AA20*AB20/100</f>
        <v>2956.5</v>
      </c>
      <c r="AD20" s="42"/>
      <c r="AE20" s="12"/>
    </row>
    <row r="21" spans="1:31" s="46" customFormat="1" ht="21">
      <c r="A21" s="42" t="s">
        <v>0</v>
      </c>
      <c r="B21" s="42" t="s">
        <v>1</v>
      </c>
      <c r="C21" s="45" t="s">
        <v>916</v>
      </c>
      <c r="D21" s="51" t="s">
        <v>536</v>
      </c>
      <c r="E21" s="30" t="s">
        <v>908</v>
      </c>
      <c r="F21" s="47" t="s">
        <v>137</v>
      </c>
      <c r="G21" s="42"/>
      <c r="H21" s="42"/>
      <c r="I21" s="44">
        <v>81.4</v>
      </c>
      <c r="J21" s="44">
        <f t="shared" si="8"/>
        <v>81.4</v>
      </c>
      <c r="K21" s="42">
        <v>15000</v>
      </c>
      <c r="L21" s="42">
        <f t="shared" si="1"/>
        <v>1221000</v>
      </c>
      <c r="M21" s="42"/>
      <c r="N21" s="42" t="s">
        <v>114</v>
      </c>
      <c r="O21" s="101" t="s">
        <v>446</v>
      </c>
      <c r="P21" s="45" t="s">
        <v>137</v>
      </c>
      <c r="Q21" s="42">
        <v>960</v>
      </c>
      <c r="R21" s="42"/>
      <c r="S21" s="42">
        <v>7600</v>
      </c>
      <c r="T21" s="12">
        <f t="shared" si="9"/>
        <v>7296000</v>
      </c>
      <c r="U21" s="102" t="s">
        <v>84</v>
      </c>
      <c r="V21" s="12">
        <f>+T21*0.2</f>
        <v>1459200</v>
      </c>
      <c r="W21" s="12">
        <f t="shared" si="10"/>
        <v>5836800</v>
      </c>
      <c r="X21" s="116"/>
      <c r="Y21" s="117">
        <f t="shared" si="5"/>
        <v>7057800</v>
      </c>
      <c r="Z21" s="12"/>
      <c r="AA21" s="12">
        <f t="shared" si="6"/>
        <v>7057800</v>
      </c>
      <c r="AB21" s="12">
        <v>0.02</v>
      </c>
      <c r="AC21" s="12">
        <f t="shared" si="7"/>
        <v>1411.56</v>
      </c>
      <c r="AD21" s="42"/>
      <c r="AE21" s="12"/>
    </row>
    <row r="22" spans="1:31" s="46" customFormat="1" ht="21">
      <c r="A22" s="42"/>
      <c r="B22" s="42"/>
      <c r="C22" s="45"/>
      <c r="D22" s="31"/>
      <c r="E22" s="31"/>
      <c r="F22" s="47"/>
      <c r="G22" s="42"/>
      <c r="H22" s="42"/>
      <c r="I22" s="44"/>
      <c r="J22" s="44">
        <f t="shared" si="8"/>
        <v>0</v>
      </c>
      <c r="K22" s="42"/>
      <c r="L22" s="42">
        <f t="shared" si="1"/>
        <v>0</v>
      </c>
      <c r="M22" s="42"/>
      <c r="N22" s="42"/>
      <c r="O22" s="42"/>
      <c r="P22" s="31"/>
      <c r="Q22" s="42"/>
      <c r="R22" s="42"/>
      <c r="S22" s="42"/>
      <c r="T22" s="12">
        <f t="shared" si="9"/>
        <v>0</v>
      </c>
      <c r="U22" s="45"/>
      <c r="V22" s="12">
        <f>+T22*0</f>
        <v>0</v>
      </c>
      <c r="W22" s="12">
        <f t="shared" si="10"/>
        <v>0</v>
      </c>
      <c r="X22" s="116"/>
      <c r="Y22" s="117">
        <f t="shared" si="5"/>
        <v>0</v>
      </c>
      <c r="Z22" s="12"/>
      <c r="AA22" s="12">
        <f t="shared" si="6"/>
        <v>0</v>
      </c>
      <c r="AB22" s="12"/>
      <c r="AC22" s="12">
        <f t="shared" si="7"/>
        <v>0</v>
      </c>
      <c r="AD22" s="42"/>
      <c r="AE22" s="12"/>
    </row>
    <row r="23" spans="1:31" s="46" customFormat="1" ht="21">
      <c r="A23" s="42" t="s">
        <v>0</v>
      </c>
      <c r="B23" s="42" t="s">
        <v>1</v>
      </c>
      <c r="C23" s="45" t="s">
        <v>917</v>
      </c>
      <c r="D23" s="45" t="s">
        <v>537</v>
      </c>
      <c r="E23" s="30" t="s">
        <v>908</v>
      </c>
      <c r="F23" s="47">
        <v>5</v>
      </c>
      <c r="G23" s="42"/>
      <c r="H23" s="42"/>
      <c r="I23" s="44">
        <v>57.5</v>
      </c>
      <c r="J23" s="44">
        <f t="shared" si="8"/>
        <v>57.5</v>
      </c>
      <c r="K23" s="42">
        <v>20000</v>
      </c>
      <c r="L23" s="42">
        <f t="shared" si="1"/>
        <v>1150000</v>
      </c>
      <c r="M23" s="42">
        <v>1</v>
      </c>
      <c r="N23" s="42" t="s">
        <v>60</v>
      </c>
      <c r="O23" s="101" t="s">
        <v>446</v>
      </c>
      <c r="P23" s="45" t="s">
        <v>137</v>
      </c>
      <c r="Q23" s="100">
        <v>96</v>
      </c>
      <c r="R23" s="103">
        <f>+Q23*100/(Q23+Q24)</f>
        <v>50</v>
      </c>
      <c r="S23" s="42">
        <v>7550</v>
      </c>
      <c r="T23" s="12">
        <f t="shared" si="9"/>
        <v>724800</v>
      </c>
      <c r="U23" s="102" t="s">
        <v>82</v>
      </c>
      <c r="V23" s="12">
        <f>+T23*0.16</f>
        <v>115968</v>
      </c>
      <c r="W23" s="12">
        <f t="shared" si="10"/>
        <v>608832</v>
      </c>
      <c r="X23" s="116"/>
      <c r="Y23" s="117">
        <f>+L23*(R23/100)+W23</f>
        <v>1183832</v>
      </c>
      <c r="Z23" s="12"/>
      <c r="AA23" s="12">
        <f>+Y23-Z23</f>
        <v>1183832</v>
      </c>
      <c r="AB23" s="12">
        <v>0.02</v>
      </c>
      <c r="AC23" s="12">
        <f>+AA23*AB23/100</f>
        <v>236.7664</v>
      </c>
      <c r="AD23" s="42"/>
      <c r="AE23" s="12"/>
    </row>
    <row r="24" spans="1:31" s="46" customFormat="1" ht="21">
      <c r="A24" s="42" t="s">
        <v>0</v>
      </c>
      <c r="B24" s="42"/>
      <c r="C24" s="45"/>
      <c r="D24" s="45"/>
      <c r="E24" s="31"/>
      <c r="F24" s="47"/>
      <c r="G24" s="42"/>
      <c r="H24" s="42"/>
      <c r="I24" s="44"/>
      <c r="J24" s="44">
        <f t="shared" si="8"/>
        <v>0</v>
      </c>
      <c r="K24" s="42"/>
      <c r="L24" s="42">
        <f>+K24*J24</f>
        <v>0</v>
      </c>
      <c r="M24" s="42">
        <v>2</v>
      </c>
      <c r="N24" s="42" t="s">
        <v>60</v>
      </c>
      <c r="O24" s="101" t="s">
        <v>446</v>
      </c>
      <c r="P24" s="45">
        <v>3</v>
      </c>
      <c r="Q24" s="100">
        <v>96</v>
      </c>
      <c r="R24" s="103">
        <f>+Q24*100/(Q23+Q24)</f>
        <v>50</v>
      </c>
      <c r="S24" s="42">
        <v>7550</v>
      </c>
      <c r="T24" s="12">
        <f t="shared" si="9"/>
        <v>724800</v>
      </c>
      <c r="U24" s="102" t="s">
        <v>82</v>
      </c>
      <c r="V24" s="12">
        <f>+T24*0.16</f>
        <v>115968</v>
      </c>
      <c r="W24" s="12">
        <f t="shared" si="10"/>
        <v>608832</v>
      </c>
      <c r="X24" s="116"/>
      <c r="Y24" s="117">
        <f>+L23*(R24/100)+W24</f>
        <v>1183832</v>
      </c>
      <c r="Z24" s="12"/>
      <c r="AA24" s="12">
        <f>+Y24-Z24</f>
        <v>1183832</v>
      </c>
      <c r="AB24" s="12">
        <v>0.3</v>
      </c>
      <c r="AC24" s="12">
        <f>+AA24*AB24/100</f>
        <v>3551.4959999999996</v>
      </c>
      <c r="AD24" s="42"/>
      <c r="AE24" s="12"/>
    </row>
    <row r="25" spans="1:31" s="46" customFormat="1" ht="21">
      <c r="A25" s="42" t="s">
        <v>0</v>
      </c>
      <c r="B25" s="42" t="s">
        <v>1</v>
      </c>
      <c r="C25" s="45" t="s">
        <v>918</v>
      </c>
      <c r="D25" s="45" t="s">
        <v>538</v>
      </c>
      <c r="E25" s="30" t="s">
        <v>908</v>
      </c>
      <c r="F25" s="47">
        <v>3</v>
      </c>
      <c r="G25" s="42"/>
      <c r="H25" s="42"/>
      <c r="I25" s="44">
        <v>52.9</v>
      </c>
      <c r="J25" s="44">
        <f t="shared" si="8"/>
        <v>52.9</v>
      </c>
      <c r="K25" s="42">
        <v>20000</v>
      </c>
      <c r="L25" s="42">
        <f t="shared" si="1"/>
        <v>1058000</v>
      </c>
      <c r="M25" s="42"/>
      <c r="N25" s="42" t="s">
        <v>116</v>
      </c>
      <c r="O25" s="101" t="s">
        <v>446</v>
      </c>
      <c r="P25" s="45">
        <v>3</v>
      </c>
      <c r="Q25" s="42">
        <v>100</v>
      </c>
      <c r="R25" s="42"/>
      <c r="S25" s="42">
        <v>5550</v>
      </c>
      <c r="T25" s="12">
        <f t="shared" si="9"/>
        <v>555000</v>
      </c>
      <c r="U25" s="102" t="s">
        <v>82</v>
      </c>
      <c r="V25" s="12">
        <f>+T25*0.16</f>
        <v>88800</v>
      </c>
      <c r="W25" s="12">
        <f t="shared" si="10"/>
        <v>466200</v>
      </c>
      <c r="X25" s="116"/>
      <c r="Y25" s="117">
        <f t="shared" si="5"/>
        <v>1524200</v>
      </c>
      <c r="Z25" s="12"/>
      <c r="AA25" s="12">
        <f>+Y25-Z25</f>
        <v>1524200</v>
      </c>
      <c r="AB25" s="12">
        <v>0.3</v>
      </c>
      <c r="AC25" s="12">
        <f>+AA25*AB25/100</f>
        <v>4572.6</v>
      </c>
      <c r="AD25" s="42"/>
      <c r="AE25" s="12"/>
    </row>
    <row r="26" spans="1:31" s="46" customFormat="1" ht="21">
      <c r="A26" s="42" t="s">
        <v>0</v>
      </c>
      <c r="B26" s="42" t="s">
        <v>1</v>
      </c>
      <c r="C26" s="45" t="s">
        <v>919</v>
      </c>
      <c r="D26" s="45" t="s">
        <v>539</v>
      </c>
      <c r="E26" s="10" t="s">
        <v>909</v>
      </c>
      <c r="F26" s="47">
        <v>4</v>
      </c>
      <c r="G26" s="42"/>
      <c r="H26" s="42"/>
      <c r="I26" s="44">
        <v>45.4</v>
      </c>
      <c r="J26" s="44">
        <f t="shared" si="8"/>
        <v>45.4</v>
      </c>
      <c r="K26" s="42">
        <v>6000</v>
      </c>
      <c r="L26" s="42">
        <f t="shared" si="1"/>
        <v>272400</v>
      </c>
      <c r="M26" s="42"/>
      <c r="N26" s="42"/>
      <c r="O26" s="42"/>
      <c r="P26" s="31"/>
      <c r="Q26" s="42"/>
      <c r="R26" s="42"/>
      <c r="S26" s="42"/>
      <c r="T26" s="12">
        <f t="shared" si="9"/>
        <v>0</v>
      </c>
      <c r="U26" s="45"/>
      <c r="V26" s="12">
        <f>+T26*0</f>
        <v>0</v>
      </c>
      <c r="W26" s="12">
        <f t="shared" si="10"/>
        <v>0</v>
      </c>
      <c r="X26" s="116"/>
      <c r="Y26" s="117">
        <f t="shared" si="5"/>
        <v>272400</v>
      </c>
      <c r="Z26" s="12"/>
      <c r="AA26" s="12">
        <f t="shared" si="6"/>
        <v>272400</v>
      </c>
      <c r="AB26" s="12">
        <v>0.3</v>
      </c>
      <c r="AC26" s="12">
        <f t="shared" si="7"/>
        <v>817.2</v>
      </c>
      <c r="AD26" s="42"/>
      <c r="AE26" s="12"/>
    </row>
    <row r="27" spans="1:31" s="46" customFormat="1" ht="21">
      <c r="A27" s="42"/>
      <c r="B27" s="42"/>
      <c r="C27" s="45"/>
      <c r="D27" s="31"/>
      <c r="E27" s="31"/>
      <c r="F27" s="47"/>
      <c r="G27" s="42"/>
      <c r="H27" s="42"/>
      <c r="I27" s="44"/>
      <c r="J27" s="44">
        <f t="shared" si="8"/>
        <v>0</v>
      </c>
      <c r="K27" s="42"/>
      <c r="L27" s="42">
        <f t="shared" si="1"/>
        <v>0</v>
      </c>
      <c r="M27" s="42"/>
      <c r="N27" s="42"/>
      <c r="O27" s="42"/>
      <c r="P27" s="31"/>
      <c r="Q27" s="42"/>
      <c r="R27" s="42"/>
      <c r="S27" s="42"/>
      <c r="T27" s="12">
        <f t="shared" si="9"/>
        <v>0</v>
      </c>
      <c r="U27" s="45"/>
      <c r="V27" s="12">
        <f>+T27*0</f>
        <v>0</v>
      </c>
      <c r="W27" s="12">
        <f t="shared" si="10"/>
        <v>0</v>
      </c>
      <c r="X27" s="116"/>
      <c r="Y27" s="117">
        <f t="shared" si="5"/>
        <v>0</v>
      </c>
      <c r="Z27" s="12"/>
      <c r="AA27" s="12">
        <f t="shared" si="6"/>
        <v>0</v>
      </c>
      <c r="AB27" s="12"/>
      <c r="AC27" s="12">
        <f t="shared" si="7"/>
        <v>0</v>
      </c>
      <c r="AD27" s="42"/>
      <c r="AE27" s="12"/>
    </row>
    <row r="28" spans="1:31" s="46" customFormat="1" ht="21">
      <c r="A28" s="42" t="s">
        <v>0</v>
      </c>
      <c r="B28" s="42" t="s">
        <v>1</v>
      </c>
      <c r="C28" s="45" t="s">
        <v>1723</v>
      </c>
      <c r="D28" s="45" t="s">
        <v>1724</v>
      </c>
      <c r="E28" s="29" t="s">
        <v>907</v>
      </c>
      <c r="F28" s="47" t="s">
        <v>137</v>
      </c>
      <c r="G28" s="42"/>
      <c r="H28" s="42"/>
      <c r="I28" s="44">
        <v>38.9</v>
      </c>
      <c r="J28" s="44">
        <f t="shared" si="8"/>
        <v>38.9</v>
      </c>
      <c r="K28" s="42">
        <v>12000</v>
      </c>
      <c r="L28" s="42">
        <f t="shared" si="1"/>
        <v>466800</v>
      </c>
      <c r="M28" s="42"/>
      <c r="N28" s="42" t="s">
        <v>64</v>
      </c>
      <c r="O28" s="104" t="s">
        <v>446</v>
      </c>
      <c r="P28" s="45" t="s">
        <v>137</v>
      </c>
      <c r="Q28" s="104">
        <v>54.12</v>
      </c>
      <c r="R28" s="100"/>
      <c r="S28" s="42">
        <v>6550</v>
      </c>
      <c r="T28" s="12">
        <f t="shared" si="9"/>
        <v>354486</v>
      </c>
      <c r="U28" s="102" t="s">
        <v>87</v>
      </c>
      <c r="V28" s="12">
        <f>+T28*0.28</f>
        <v>99256.08000000002</v>
      </c>
      <c r="W28" s="12">
        <f t="shared" si="10"/>
        <v>255229.91999999998</v>
      </c>
      <c r="X28" s="116"/>
      <c r="Y28" s="117">
        <f t="shared" si="5"/>
        <v>722029.9199999999</v>
      </c>
      <c r="Z28" s="12">
        <f>+Y28</f>
        <v>722029.9199999999</v>
      </c>
      <c r="AA28" s="12">
        <f t="shared" si="6"/>
        <v>0</v>
      </c>
      <c r="AB28" s="12"/>
      <c r="AC28" s="12">
        <f t="shared" si="7"/>
        <v>0</v>
      </c>
      <c r="AD28" s="42" t="s">
        <v>906</v>
      </c>
      <c r="AE28" s="12"/>
    </row>
    <row r="29" spans="1:31" s="46" customFormat="1" ht="21">
      <c r="A29" s="42"/>
      <c r="B29" s="42"/>
      <c r="C29" s="45"/>
      <c r="D29" s="31"/>
      <c r="E29" s="31"/>
      <c r="F29" s="47"/>
      <c r="G29" s="42"/>
      <c r="H29" s="42"/>
      <c r="I29" s="44"/>
      <c r="J29" s="44">
        <f t="shared" si="8"/>
        <v>0</v>
      </c>
      <c r="K29" s="42"/>
      <c r="L29" s="42">
        <f t="shared" si="1"/>
        <v>0</v>
      </c>
      <c r="M29" s="42"/>
      <c r="N29" s="42"/>
      <c r="O29" s="100"/>
      <c r="P29" s="31"/>
      <c r="Q29" s="100"/>
      <c r="R29" s="100"/>
      <c r="S29" s="42"/>
      <c r="T29" s="12">
        <f t="shared" si="9"/>
        <v>0</v>
      </c>
      <c r="U29" s="45"/>
      <c r="V29" s="12">
        <f>+T29*0</f>
        <v>0</v>
      </c>
      <c r="W29" s="12">
        <f t="shared" si="10"/>
        <v>0</v>
      </c>
      <c r="X29" s="116"/>
      <c r="Y29" s="117">
        <f t="shared" si="5"/>
        <v>0</v>
      </c>
      <c r="Z29" s="12"/>
      <c r="AA29" s="12">
        <f t="shared" si="6"/>
        <v>0</v>
      </c>
      <c r="AB29" s="12"/>
      <c r="AC29" s="12">
        <f t="shared" si="7"/>
        <v>0</v>
      </c>
      <c r="AD29" s="42"/>
      <c r="AE29" s="12"/>
    </row>
    <row r="30" spans="1:31" s="46" customFormat="1" ht="21">
      <c r="A30" s="42"/>
      <c r="B30" s="42"/>
      <c r="C30" s="45"/>
      <c r="D30" s="31"/>
      <c r="E30" s="31"/>
      <c r="F30" s="47"/>
      <c r="G30" s="42"/>
      <c r="H30" s="42"/>
      <c r="I30" s="44"/>
      <c r="J30" s="44">
        <f t="shared" si="8"/>
        <v>0</v>
      </c>
      <c r="K30" s="42"/>
      <c r="L30" s="42">
        <f t="shared" si="1"/>
        <v>0</v>
      </c>
      <c r="M30" s="42"/>
      <c r="N30" s="42"/>
      <c r="O30" s="42"/>
      <c r="P30" s="31"/>
      <c r="Q30" s="42"/>
      <c r="R30" s="42"/>
      <c r="S30" s="42"/>
      <c r="T30" s="12">
        <f t="shared" si="9"/>
        <v>0</v>
      </c>
      <c r="U30" s="45"/>
      <c r="V30" s="12">
        <f>+T30*0</f>
        <v>0</v>
      </c>
      <c r="W30" s="12">
        <f t="shared" si="10"/>
        <v>0</v>
      </c>
      <c r="X30" s="116"/>
      <c r="Y30" s="117">
        <f t="shared" si="5"/>
        <v>0</v>
      </c>
      <c r="Z30" s="12"/>
      <c r="AA30" s="12">
        <f t="shared" si="6"/>
        <v>0</v>
      </c>
      <c r="AB30" s="12"/>
      <c r="AC30" s="12">
        <f t="shared" si="7"/>
        <v>0</v>
      </c>
      <c r="AD30" s="42"/>
      <c r="AE30" s="12"/>
    </row>
    <row r="31" spans="1:31" s="46" customFormat="1" ht="21">
      <c r="A31" s="42" t="s">
        <v>0</v>
      </c>
      <c r="B31" s="42" t="s">
        <v>1</v>
      </c>
      <c r="C31" s="45" t="s">
        <v>1725</v>
      </c>
      <c r="D31" s="45" t="s">
        <v>1726</v>
      </c>
      <c r="E31" s="29" t="s">
        <v>907</v>
      </c>
      <c r="F31" s="47" t="s">
        <v>137</v>
      </c>
      <c r="G31" s="42"/>
      <c r="H31" s="42"/>
      <c r="I31" s="44">
        <v>54</v>
      </c>
      <c r="J31" s="44">
        <f t="shared" si="8"/>
        <v>54</v>
      </c>
      <c r="K31" s="42">
        <v>12000</v>
      </c>
      <c r="L31" s="42">
        <f t="shared" si="1"/>
        <v>648000</v>
      </c>
      <c r="M31" s="42"/>
      <c r="N31" s="42" t="s">
        <v>64</v>
      </c>
      <c r="O31" s="104" t="s">
        <v>446</v>
      </c>
      <c r="P31" s="45" t="s">
        <v>137</v>
      </c>
      <c r="Q31" s="104">
        <v>60</v>
      </c>
      <c r="R31" s="100"/>
      <c r="S31" s="42">
        <v>6550</v>
      </c>
      <c r="T31" s="12">
        <f t="shared" si="9"/>
        <v>393000</v>
      </c>
      <c r="U31" s="45" t="s">
        <v>314</v>
      </c>
      <c r="V31" s="12">
        <f>+T31*0.1</f>
        <v>39300</v>
      </c>
      <c r="W31" s="12">
        <f t="shared" si="10"/>
        <v>353700</v>
      </c>
      <c r="X31" s="116"/>
      <c r="Y31" s="117">
        <f t="shared" si="5"/>
        <v>1001700</v>
      </c>
      <c r="Z31" s="12">
        <f>+Y31</f>
        <v>1001700</v>
      </c>
      <c r="AA31" s="12">
        <f t="shared" si="6"/>
        <v>0</v>
      </c>
      <c r="AB31" s="12"/>
      <c r="AC31" s="12">
        <f t="shared" si="7"/>
        <v>0</v>
      </c>
      <c r="AD31" s="42" t="s">
        <v>906</v>
      </c>
      <c r="AE31" s="12"/>
    </row>
    <row r="32" spans="1:31" s="46" customFormat="1" ht="21">
      <c r="A32" s="42"/>
      <c r="B32" s="42"/>
      <c r="C32" s="45"/>
      <c r="D32" s="31"/>
      <c r="E32" s="31"/>
      <c r="F32" s="47"/>
      <c r="G32" s="42"/>
      <c r="H32" s="42"/>
      <c r="I32" s="44"/>
      <c r="J32" s="44">
        <f t="shared" si="8"/>
        <v>0</v>
      </c>
      <c r="K32" s="42"/>
      <c r="L32" s="42">
        <f t="shared" si="1"/>
        <v>0</v>
      </c>
      <c r="M32" s="42"/>
      <c r="N32" s="42"/>
      <c r="O32" s="100"/>
      <c r="P32" s="31"/>
      <c r="Q32" s="100"/>
      <c r="R32" s="100"/>
      <c r="S32" s="42"/>
      <c r="T32" s="12">
        <f t="shared" si="9"/>
        <v>0</v>
      </c>
      <c r="U32" s="45"/>
      <c r="V32" s="12">
        <f>+T32*0</f>
        <v>0</v>
      </c>
      <c r="W32" s="12">
        <f t="shared" si="10"/>
        <v>0</v>
      </c>
      <c r="X32" s="116"/>
      <c r="Y32" s="117">
        <f t="shared" si="5"/>
        <v>0</v>
      </c>
      <c r="Z32" s="12"/>
      <c r="AA32" s="12">
        <f t="shared" si="6"/>
        <v>0</v>
      </c>
      <c r="AB32" s="12"/>
      <c r="AC32" s="12">
        <f t="shared" si="7"/>
        <v>0</v>
      </c>
      <c r="AD32" s="42"/>
      <c r="AE32" s="12"/>
    </row>
    <row r="33" spans="1:31" s="46" customFormat="1" ht="21">
      <c r="A33" s="42"/>
      <c r="B33" s="42"/>
      <c r="C33" s="45"/>
      <c r="D33" s="31"/>
      <c r="E33" s="31"/>
      <c r="F33" s="47"/>
      <c r="G33" s="42"/>
      <c r="H33" s="42"/>
      <c r="I33" s="44"/>
      <c r="J33" s="44">
        <f t="shared" si="8"/>
        <v>0</v>
      </c>
      <c r="K33" s="42"/>
      <c r="L33" s="42">
        <f t="shared" si="1"/>
        <v>0</v>
      </c>
      <c r="M33" s="42"/>
      <c r="N33" s="42"/>
      <c r="O33" s="42"/>
      <c r="P33" s="31"/>
      <c r="Q33" s="42"/>
      <c r="R33" s="42"/>
      <c r="S33" s="42"/>
      <c r="T33" s="12">
        <f t="shared" si="9"/>
        <v>0</v>
      </c>
      <c r="U33" s="45"/>
      <c r="V33" s="12">
        <f>+T33*0</f>
        <v>0</v>
      </c>
      <c r="W33" s="12">
        <f t="shared" si="10"/>
        <v>0</v>
      </c>
      <c r="X33" s="116"/>
      <c r="Y33" s="117">
        <f t="shared" si="5"/>
        <v>0</v>
      </c>
      <c r="Z33" s="12"/>
      <c r="AA33" s="12">
        <f t="shared" si="6"/>
        <v>0</v>
      </c>
      <c r="AB33" s="12"/>
      <c r="AC33" s="12">
        <f t="shared" si="7"/>
        <v>0</v>
      </c>
      <c r="AD33" s="42"/>
      <c r="AE33" s="12"/>
    </row>
    <row r="34" spans="1:31" s="46" customFormat="1" ht="21">
      <c r="A34" s="42" t="s">
        <v>0</v>
      </c>
      <c r="B34" s="42" t="s">
        <v>1</v>
      </c>
      <c r="C34" s="45" t="s">
        <v>1727</v>
      </c>
      <c r="D34" s="51" t="s">
        <v>1728</v>
      </c>
      <c r="E34" s="29" t="s">
        <v>907</v>
      </c>
      <c r="F34" s="47" t="s">
        <v>137</v>
      </c>
      <c r="G34" s="42"/>
      <c r="H34" s="42"/>
      <c r="I34" s="44">
        <v>21.1</v>
      </c>
      <c r="J34" s="44">
        <f t="shared" si="8"/>
        <v>21.1</v>
      </c>
      <c r="K34" s="42">
        <v>15000</v>
      </c>
      <c r="L34" s="42">
        <f t="shared" si="1"/>
        <v>316500</v>
      </c>
      <c r="M34" s="42"/>
      <c r="N34" s="42" t="s">
        <v>62</v>
      </c>
      <c r="O34" s="104" t="s">
        <v>446</v>
      </c>
      <c r="P34" s="45" t="s">
        <v>137</v>
      </c>
      <c r="Q34" s="104">
        <v>112</v>
      </c>
      <c r="R34" s="104"/>
      <c r="S34" s="42">
        <v>6750</v>
      </c>
      <c r="T34" s="12">
        <f t="shared" si="9"/>
        <v>756000</v>
      </c>
      <c r="U34" s="45" t="s">
        <v>314</v>
      </c>
      <c r="V34" s="12">
        <f>+T34*0.1</f>
        <v>75600</v>
      </c>
      <c r="W34" s="12">
        <f t="shared" si="10"/>
        <v>680400</v>
      </c>
      <c r="X34" s="116"/>
      <c r="Y34" s="117">
        <f t="shared" si="5"/>
        <v>996900</v>
      </c>
      <c r="Z34" s="12"/>
      <c r="AA34" s="12">
        <f t="shared" si="6"/>
        <v>996900</v>
      </c>
      <c r="AB34" s="12">
        <v>0.02</v>
      </c>
      <c r="AC34" s="12">
        <f t="shared" si="7"/>
        <v>199.38</v>
      </c>
      <c r="AD34" s="42"/>
      <c r="AE34" s="12"/>
    </row>
    <row r="35" spans="1:31" s="46" customFormat="1" ht="21">
      <c r="A35" s="42"/>
      <c r="B35" s="42"/>
      <c r="C35" s="45"/>
      <c r="D35" s="31"/>
      <c r="E35" s="31"/>
      <c r="F35" s="47"/>
      <c r="G35" s="42"/>
      <c r="H35" s="42"/>
      <c r="I35" s="44"/>
      <c r="J35" s="44">
        <f t="shared" si="8"/>
        <v>0</v>
      </c>
      <c r="K35" s="42"/>
      <c r="L35" s="42">
        <f t="shared" si="1"/>
        <v>0</v>
      </c>
      <c r="M35" s="42"/>
      <c r="N35" s="42"/>
      <c r="O35" s="100"/>
      <c r="P35" s="31"/>
      <c r="Q35" s="100"/>
      <c r="R35" s="100"/>
      <c r="S35" s="42"/>
      <c r="T35" s="12">
        <f t="shared" si="9"/>
        <v>0</v>
      </c>
      <c r="U35" s="45"/>
      <c r="V35" s="12">
        <f>+T35*0</f>
        <v>0</v>
      </c>
      <c r="W35" s="12">
        <f t="shared" si="10"/>
        <v>0</v>
      </c>
      <c r="X35" s="116"/>
      <c r="Y35" s="117">
        <f t="shared" si="5"/>
        <v>0</v>
      </c>
      <c r="Z35" s="12"/>
      <c r="AA35" s="12">
        <f t="shared" si="6"/>
        <v>0</v>
      </c>
      <c r="AB35" s="12"/>
      <c r="AC35" s="12">
        <f t="shared" si="7"/>
        <v>0</v>
      </c>
      <c r="AD35" s="42"/>
      <c r="AE35" s="12"/>
    </row>
    <row r="36" spans="1:31" s="46" customFormat="1" ht="21">
      <c r="A36" s="42"/>
      <c r="B36" s="42"/>
      <c r="C36" s="45"/>
      <c r="D36" s="31"/>
      <c r="E36" s="31"/>
      <c r="F36" s="47"/>
      <c r="G36" s="42"/>
      <c r="H36" s="42"/>
      <c r="I36" s="44"/>
      <c r="J36" s="44">
        <f t="shared" si="8"/>
        <v>0</v>
      </c>
      <c r="K36" s="42"/>
      <c r="L36" s="42">
        <f t="shared" si="1"/>
        <v>0</v>
      </c>
      <c r="M36" s="42"/>
      <c r="N36" s="42"/>
      <c r="O36" s="42"/>
      <c r="P36" s="31"/>
      <c r="Q36" s="42"/>
      <c r="R36" s="42"/>
      <c r="S36" s="42"/>
      <c r="T36" s="12">
        <f t="shared" si="9"/>
        <v>0</v>
      </c>
      <c r="U36" s="45"/>
      <c r="V36" s="12">
        <f>+T36*0</f>
        <v>0</v>
      </c>
      <c r="W36" s="12">
        <f t="shared" si="10"/>
        <v>0</v>
      </c>
      <c r="X36" s="116"/>
      <c r="Y36" s="117">
        <f t="shared" si="5"/>
        <v>0</v>
      </c>
      <c r="Z36" s="12"/>
      <c r="AA36" s="12">
        <f t="shared" si="6"/>
        <v>0</v>
      </c>
      <c r="AB36" s="12"/>
      <c r="AC36" s="12">
        <f t="shared" si="7"/>
        <v>0</v>
      </c>
      <c r="AD36" s="42"/>
      <c r="AE36" s="12"/>
    </row>
    <row r="37" spans="1:31" s="46" customFormat="1" ht="21">
      <c r="A37" s="42" t="s">
        <v>0</v>
      </c>
      <c r="B37" s="42" t="s">
        <v>1</v>
      </c>
      <c r="C37" s="45" t="s">
        <v>1729</v>
      </c>
      <c r="D37" s="45" t="s">
        <v>1731</v>
      </c>
      <c r="E37" s="31" t="s">
        <v>908</v>
      </c>
      <c r="F37" s="47" t="s">
        <v>137</v>
      </c>
      <c r="G37" s="42"/>
      <c r="H37" s="42"/>
      <c r="I37" s="44">
        <v>24.6</v>
      </c>
      <c r="J37" s="44">
        <f t="shared" si="8"/>
        <v>24.6</v>
      </c>
      <c r="K37" s="42">
        <v>30000</v>
      </c>
      <c r="L37" s="42">
        <f t="shared" si="1"/>
        <v>738000</v>
      </c>
      <c r="M37" s="42"/>
      <c r="N37" s="42" t="s">
        <v>64</v>
      </c>
      <c r="O37" s="104" t="s">
        <v>446</v>
      </c>
      <c r="P37" s="45" t="s">
        <v>137</v>
      </c>
      <c r="Q37" s="104">
        <v>96</v>
      </c>
      <c r="R37" s="100"/>
      <c r="S37" s="42">
        <v>6550</v>
      </c>
      <c r="T37" s="12">
        <f t="shared" si="9"/>
        <v>628800</v>
      </c>
      <c r="U37" s="102" t="s">
        <v>84</v>
      </c>
      <c r="V37" s="12">
        <f>+T37*0.2</f>
        <v>125760</v>
      </c>
      <c r="W37" s="12">
        <f t="shared" si="10"/>
        <v>503040</v>
      </c>
      <c r="X37" s="116"/>
      <c r="Y37" s="117">
        <f t="shared" si="5"/>
        <v>1241040</v>
      </c>
      <c r="Z37" s="12"/>
      <c r="AA37" s="12">
        <f t="shared" si="6"/>
        <v>1241040</v>
      </c>
      <c r="AB37" s="12">
        <v>0.02</v>
      </c>
      <c r="AC37" s="12">
        <f t="shared" si="7"/>
        <v>248.208</v>
      </c>
      <c r="AD37" s="42"/>
      <c r="AE37" s="12"/>
    </row>
    <row r="38" spans="1:31" s="46" customFormat="1" ht="21">
      <c r="A38" s="42" t="s">
        <v>0</v>
      </c>
      <c r="B38" s="42" t="s">
        <v>1</v>
      </c>
      <c r="C38" s="45" t="s">
        <v>1730</v>
      </c>
      <c r="D38" s="45" t="s">
        <v>1732</v>
      </c>
      <c r="E38" s="31" t="s">
        <v>908</v>
      </c>
      <c r="F38" s="47" t="s">
        <v>137</v>
      </c>
      <c r="G38" s="42"/>
      <c r="H38" s="42"/>
      <c r="I38" s="44">
        <v>24.4</v>
      </c>
      <c r="J38" s="44">
        <f t="shared" si="8"/>
        <v>24.4</v>
      </c>
      <c r="K38" s="42">
        <v>20000</v>
      </c>
      <c r="L38" s="42">
        <f t="shared" si="1"/>
        <v>488000</v>
      </c>
      <c r="M38" s="42"/>
      <c r="N38" s="42" t="s">
        <v>64</v>
      </c>
      <c r="O38" s="104" t="s">
        <v>454</v>
      </c>
      <c r="P38" s="45" t="s">
        <v>137</v>
      </c>
      <c r="Q38" s="104">
        <v>32</v>
      </c>
      <c r="R38" s="100"/>
      <c r="S38" s="42">
        <v>6550</v>
      </c>
      <c r="T38" s="12">
        <f t="shared" si="9"/>
        <v>209600</v>
      </c>
      <c r="U38" s="102" t="s">
        <v>460</v>
      </c>
      <c r="V38" s="12">
        <f>+T38*0.5</f>
        <v>104800</v>
      </c>
      <c r="W38" s="12">
        <f t="shared" si="10"/>
        <v>104800</v>
      </c>
      <c r="X38" s="116"/>
      <c r="Y38" s="117">
        <f t="shared" si="5"/>
        <v>592800</v>
      </c>
      <c r="Z38" s="12"/>
      <c r="AA38" s="12">
        <f t="shared" si="6"/>
        <v>592800</v>
      </c>
      <c r="AB38" s="12">
        <v>0.02</v>
      </c>
      <c r="AC38" s="12">
        <f t="shared" si="7"/>
        <v>118.56</v>
      </c>
      <c r="AD38" s="42"/>
      <c r="AE38" s="12"/>
    </row>
    <row r="39" spans="1:31" s="46" customFormat="1" ht="21">
      <c r="A39" s="42"/>
      <c r="B39" s="42"/>
      <c r="C39" s="45"/>
      <c r="D39" s="31"/>
      <c r="E39" s="31"/>
      <c r="F39" s="47"/>
      <c r="G39" s="42"/>
      <c r="H39" s="42"/>
      <c r="I39" s="44"/>
      <c r="J39" s="44">
        <f t="shared" si="8"/>
        <v>0</v>
      </c>
      <c r="K39" s="42"/>
      <c r="L39" s="42">
        <f t="shared" si="1"/>
        <v>0</v>
      </c>
      <c r="M39" s="42"/>
      <c r="N39" s="42"/>
      <c r="O39" s="42"/>
      <c r="P39" s="31"/>
      <c r="Q39" s="42"/>
      <c r="R39" s="42"/>
      <c r="S39" s="42"/>
      <c r="T39" s="12">
        <f t="shared" si="9"/>
        <v>0</v>
      </c>
      <c r="U39" s="45"/>
      <c r="V39" s="12">
        <f>+T39*0</f>
        <v>0</v>
      </c>
      <c r="W39" s="12">
        <f t="shared" si="10"/>
        <v>0</v>
      </c>
      <c r="X39" s="116"/>
      <c r="Y39" s="117">
        <f t="shared" si="5"/>
        <v>0</v>
      </c>
      <c r="Z39" s="12"/>
      <c r="AA39" s="12">
        <f t="shared" si="6"/>
        <v>0</v>
      </c>
      <c r="AB39" s="12"/>
      <c r="AC39" s="12">
        <f t="shared" si="7"/>
        <v>0</v>
      </c>
      <c r="AD39" s="42"/>
      <c r="AE39" s="12"/>
    </row>
    <row r="40" spans="1:31" s="46" customFormat="1" ht="21">
      <c r="A40" s="42"/>
      <c r="B40" s="42"/>
      <c r="C40" s="45"/>
      <c r="D40" s="31"/>
      <c r="E40" s="31"/>
      <c r="F40" s="47"/>
      <c r="G40" s="42"/>
      <c r="H40" s="42"/>
      <c r="I40" s="44"/>
      <c r="J40" s="44">
        <f t="shared" si="8"/>
        <v>0</v>
      </c>
      <c r="K40" s="42"/>
      <c r="L40" s="42">
        <f t="shared" si="1"/>
        <v>0</v>
      </c>
      <c r="M40" s="42"/>
      <c r="N40" s="42"/>
      <c r="O40" s="42"/>
      <c r="P40" s="31"/>
      <c r="Q40" s="42"/>
      <c r="R40" s="42"/>
      <c r="S40" s="42"/>
      <c r="T40" s="12">
        <f t="shared" si="9"/>
        <v>0</v>
      </c>
      <c r="U40" s="45"/>
      <c r="V40" s="12">
        <f>+T40*0</f>
        <v>0</v>
      </c>
      <c r="W40" s="12">
        <f t="shared" si="10"/>
        <v>0</v>
      </c>
      <c r="X40" s="116"/>
      <c r="Y40" s="117">
        <f t="shared" si="5"/>
        <v>0</v>
      </c>
      <c r="Z40" s="12"/>
      <c r="AA40" s="12">
        <f t="shared" si="6"/>
        <v>0</v>
      </c>
      <c r="AB40" s="12"/>
      <c r="AC40" s="12">
        <f t="shared" si="7"/>
        <v>0</v>
      </c>
      <c r="AD40" s="42"/>
      <c r="AE40" s="12"/>
    </row>
    <row r="41" spans="1:31" s="46" customFormat="1" ht="21">
      <c r="A41" s="42" t="s">
        <v>0</v>
      </c>
      <c r="B41" s="42" t="s">
        <v>1</v>
      </c>
      <c r="C41" s="45" t="s">
        <v>1733</v>
      </c>
      <c r="D41" s="45" t="s">
        <v>1734</v>
      </c>
      <c r="E41" s="29" t="s">
        <v>907</v>
      </c>
      <c r="F41" s="47" t="s">
        <v>137</v>
      </c>
      <c r="G41" s="42"/>
      <c r="H41" s="42"/>
      <c r="I41" s="44">
        <v>14.9</v>
      </c>
      <c r="J41" s="44">
        <f t="shared" si="8"/>
        <v>14.9</v>
      </c>
      <c r="K41" s="42">
        <v>15000</v>
      </c>
      <c r="L41" s="42">
        <f t="shared" si="1"/>
        <v>223500</v>
      </c>
      <c r="M41" s="42"/>
      <c r="N41" s="42" t="s">
        <v>60</v>
      </c>
      <c r="O41" s="104" t="s">
        <v>446</v>
      </c>
      <c r="P41" s="45" t="s">
        <v>137</v>
      </c>
      <c r="Q41" s="104">
        <v>64</v>
      </c>
      <c r="R41" s="100"/>
      <c r="S41" s="42">
        <v>7550</v>
      </c>
      <c r="T41" s="12">
        <f t="shared" si="9"/>
        <v>483200</v>
      </c>
      <c r="U41" s="102" t="s">
        <v>83</v>
      </c>
      <c r="V41" s="12">
        <f>+T41*0.18</f>
        <v>86976</v>
      </c>
      <c r="W41" s="12">
        <f t="shared" si="10"/>
        <v>396224</v>
      </c>
      <c r="X41" s="116"/>
      <c r="Y41" s="117">
        <f t="shared" si="5"/>
        <v>619724</v>
      </c>
      <c r="Z41" s="12">
        <f>+Y41</f>
        <v>619724</v>
      </c>
      <c r="AA41" s="12">
        <f t="shared" si="6"/>
        <v>0</v>
      </c>
      <c r="AB41" s="12"/>
      <c r="AC41" s="12">
        <f t="shared" si="7"/>
        <v>0</v>
      </c>
      <c r="AD41" s="42" t="s">
        <v>906</v>
      </c>
      <c r="AE41" s="12"/>
    </row>
    <row r="42" spans="1:31" s="46" customFormat="1" ht="21">
      <c r="A42" s="42"/>
      <c r="B42" s="42"/>
      <c r="C42" s="45"/>
      <c r="D42" s="31"/>
      <c r="E42" s="31"/>
      <c r="F42" s="47"/>
      <c r="G42" s="42"/>
      <c r="H42" s="42"/>
      <c r="I42" s="44"/>
      <c r="J42" s="44">
        <f t="shared" si="8"/>
        <v>0</v>
      </c>
      <c r="K42" s="42"/>
      <c r="L42" s="42">
        <f t="shared" si="1"/>
        <v>0</v>
      </c>
      <c r="M42" s="42"/>
      <c r="N42" s="42"/>
      <c r="O42" s="100"/>
      <c r="P42" s="31"/>
      <c r="Q42" s="100"/>
      <c r="R42" s="100"/>
      <c r="S42" s="42"/>
      <c r="T42" s="12">
        <f t="shared" si="9"/>
        <v>0</v>
      </c>
      <c r="U42" s="45"/>
      <c r="V42" s="12">
        <f>+T42*0</f>
        <v>0</v>
      </c>
      <c r="W42" s="12">
        <f t="shared" si="10"/>
        <v>0</v>
      </c>
      <c r="X42" s="116"/>
      <c r="Y42" s="117">
        <f t="shared" si="5"/>
        <v>0</v>
      </c>
      <c r="Z42" s="12"/>
      <c r="AA42" s="12">
        <f t="shared" si="6"/>
        <v>0</v>
      </c>
      <c r="AB42" s="12"/>
      <c r="AC42" s="12">
        <f t="shared" si="7"/>
        <v>0</v>
      </c>
      <c r="AD42" s="42"/>
      <c r="AE42" s="12"/>
    </row>
    <row r="43" spans="1:31" s="46" customFormat="1" ht="21">
      <c r="A43" s="42"/>
      <c r="B43" s="42"/>
      <c r="C43" s="45"/>
      <c r="D43" s="31"/>
      <c r="E43" s="31"/>
      <c r="F43" s="47"/>
      <c r="G43" s="42"/>
      <c r="H43" s="42"/>
      <c r="I43" s="44"/>
      <c r="J43" s="44">
        <f t="shared" si="8"/>
        <v>0</v>
      </c>
      <c r="K43" s="42"/>
      <c r="L43" s="42">
        <f t="shared" si="1"/>
        <v>0</v>
      </c>
      <c r="M43" s="42"/>
      <c r="N43" s="42"/>
      <c r="O43" s="42"/>
      <c r="P43" s="31"/>
      <c r="Q43" s="42"/>
      <c r="R43" s="42"/>
      <c r="S43" s="42"/>
      <c r="T43" s="12">
        <f t="shared" si="9"/>
        <v>0</v>
      </c>
      <c r="U43" s="45"/>
      <c r="V43" s="12">
        <f>+T43*0</f>
        <v>0</v>
      </c>
      <c r="W43" s="12">
        <f t="shared" si="10"/>
        <v>0</v>
      </c>
      <c r="X43" s="116"/>
      <c r="Y43" s="117">
        <f t="shared" si="5"/>
        <v>0</v>
      </c>
      <c r="Z43" s="12"/>
      <c r="AA43" s="12">
        <f t="shared" si="6"/>
        <v>0</v>
      </c>
      <c r="AB43" s="12"/>
      <c r="AC43" s="12">
        <f t="shared" si="7"/>
        <v>0</v>
      </c>
      <c r="AD43" s="42"/>
      <c r="AE43" s="12"/>
    </row>
    <row r="44" spans="1:31" s="46" customFormat="1" ht="21">
      <c r="A44" s="42" t="s">
        <v>0</v>
      </c>
      <c r="B44" s="42" t="s">
        <v>1</v>
      </c>
      <c r="C44" s="45" t="s">
        <v>1735</v>
      </c>
      <c r="D44" s="45" t="s">
        <v>1736</v>
      </c>
      <c r="E44" s="31" t="s">
        <v>908</v>
      </c>
      <c r="F44" s="47" t="s">
        <v>137</v>
      </c>
      <c r="G44" s="42"/>
      <c r="H44" s="42"/>
      <c r="I44" s="44">
        <v>19.4</v>
      </c>
      <c r="J44" s="44">
        <f t="shared" si="8"/>
        <v>19.4</v>
      </c>
      <c r="K44" s="42">
        <v>15000</v>
      </c>
      <c r="L44" s="42">
        <f t="shared" si="1"/>
        <v>291000</v>
      </c>
      <c r="M44" s="42"/>
      <c r="N44" s="42" t="s">
        <v>60</v>
      </c>
      <c r="O44" s="104" t="s">
        <v>446</v>
      </c>
      <c r="P44" s="45" t="s">
        <v>137</v>
      </c>
      <c r="Q44" s="104">
        <v>120</v>
      </c>
      <c r="R44" s="100"/>
      <c r="S44" s="42">
        <v>7550</v>
      </c>
      <c r="T44" s="12">
        <f t="shared" si="9"/>
        <v>906000</v>
      </c>
      <c r="U44" s="102" t="s">
        <v>99</v>
      </c>
      <c r="V44" s="12">
        <f>+T44*0.56</f>
        <v>507360.00000000006</v>
      </c>
      <c r="W44" s="12">
        <f t="shared" si="10"/>
        <v>398639.99999999994</v>
      </c>
      <c r="X44" s="116"/>
      <c r="Y44" s="117">
        <f t="shared" si="5"/>
        <v>689640</v>
      </c>
      <c r="Z44" s="12"/>
      <c r="AA44" s="12">
        <f t="shared" si="6"/>
        <v>689640</v>
      </c>
      <c r="AB44" s="12">
        <v>0.02</v>
      </c>
      <c r="AC44" s="12">
        <f t="shared" si="7"/>
        <v>137.928</v>
      </c>
      <c r="AD44" s="42"/>
      <c r="AE44" s="12"/>
    </row>
    <row r="45" spans="1:31" s="46" customFormat="1" ht="21">
      <c r="A45" s="42"/>
      <c r="B45" s="42"/>
      <c r="C45" s="45"/>
      <c r="D45" s="31"/>
      <c r="E45" s="31"/>
      <c r="F45" s="47"/>
      <c r="G45" s="42"/>
      <c r="H45" s="42"/>
      <c r="I45" s="44"/>
      <c r="J45" s="44">
        <f t="shared" si="8"/>
        <v>0</v>
      </c>
      <c r="K45" s="42"/>
      <c r="L45" s="42">
        <f t="shared" si="1"/>
        <v>0</v>
      </c>
      <c r="M45" s="42"/>
      <c r="N45" s="42"/>
      <c r="O45" s="100"/>
      <c r="P45" s="31"/>
      <c r="Q45" s="100"/>
      <c r="R45" s="100"/>
      <c r="S45" s="42"/>
      <c r="T45" s="12">
        <f t="shared" si="9"/>
        <v>0</v>
      </c>
      <c r="U45" s="45"/>
      <c r="V45" s="12">
        <f>+T45*0</f>
        <v>0</v>
      </c>
      <c r="W45" s="12">
        <f t="shared" si="10"/>
        <v>0</v>
      </c>
      <c r="X45" s="116"/>
      <c r="Y45" s="117">
        <f t="shared" si="5"/>
        <v>0</v>
      </c>
      <c r="Z45" s="12"/>
      <c r="AA45" s="12">
        <f t="shared" si="6"/>
        <v>0</v>
      </c>
      <c r="AB45" s="12"/>
      <c r="AC45" s="12">
        <f t="shared" si="7"/>
        <v>0</v>
      </c>
      <c r="AD45" s="42"/>
      <c r="AE45" s="12"/>
    </row>
    <row r="46" spans="1:31" s="46" customFormat="1" ht="21">
      <c r="A46" s="42"/>
      <c r="B46" s="42"/>
      <c r="C46" s="45"/>
      <c r="D46" s="31"/>
      <c r="E46" s="31"/>
      <c r="F46" s="47"/>
      <c r="G46" s="42"/>
      <c r="H46" s="42"/>
      <c r="I46" s="44"/>
      <c r="J46" s="44">
        <f t="shared" si="8"/>
        <v>0</v>
      </c>
      <c r="K46" s="42"/>
      <c r="L46" s="42">
        <f t="shared" si="1"/>
        <v>0</v>
      </c>
      <c r="M46" s="42"/>
      <c r="N46" s="42"/>
      <c r="O46" s="42"/>
      <c r="P46" s="31"/>
      <c r="Q46" s="42"/>
      <c r="R46" s="42"/>
      <c r="S46" s="42"/>
      <c r="T46" s="12">
        <f t="shared" si="9"/>
        <v>0</v>
      </c>
      <c r="U46" s="45"/>
      <c r="V46" s="12">
        <f>+T46*0</f>
        <v>0</v>
      </c>
      <c r="W46" s="12">
        <f t="shared" si="10"/>
        <v>0</v>
      </c>
      <c r="X46" s="116"/>
      <c r="Y46" s="117">
        <f t="shared" si="5"/>
        <v>0</v>
      </c>
      <c r="Z46" s="12"/>
      <c r="AA46" s="12">
        <f t="shared" si="6"/>
        <v>0</v>
      </c>
      <c r="AB46" s="12"/>
      <c r="AC46" s="12">
        <f t="shared" si="7"/>
        <v>0</v>
      </c>
      <c r="AD46" s="42"/>
      <c r="AE46" s="12"/>
    </row>
    <row r="47" spans="1:31" s="46" customFormat="1" ht="21">
      <c r="A47" s="42" t="s">
        <v>0</v>
      </c>
      <c r="B47" s="42" t="s">
        <v>1</v>
      </c>
      <c r="C47" s="45" t="s">
        <v>1737</v>
      </c>
      <c r="D47" s="51" t="s">
        <v>1738</v>
      </c>
      <c r="E47" s="29" t="s">
        <v>907</v>
      </c>
      <c r="F47" s="47" t="s">
        <v>137</v>
      </c>
      <c r="G47" s="42"/>
      <c r="H47" s="42"/>
      <c r="I47" s="44">
        <v>53.8</v>
      </c>
      <c r="J47" s="44">
        <f aca="true" t="shared" si="11" ref="J47:J78">+I47+(H47*100)+(G47*400)</f>
        <v>53.8</v>
      </c>
      <c r="K47" s="42">
        <v>12000</v>
      </c>
      <c r="L47" s="42">
        <f t="shared" si="1"/>
        <v>645600</v>
      </c>
      <c r="M47" s="42"/>
      <c r="N47" s="42" t="s">
        <v>64</v>
      </c>
      <c r="O47" s="104" t="s">
        <v>446</v>
      </c>
      <c r="P47" s="45" t="s">
        <v>137</v>
      </c>
      <c r="Q47" s="104">
        <v>280</v>
      </c>
      <c r="R47" s="100"/>
      <c r="S47" s="42">
        <v>6550</v>
      </c>
      <c r="T47" s="12">
        <f aca="true" t="shared" si="12" ref="T47:T78">+Q47*S47</f>
        <v>1834000</v>
      </c>
      <c r="U47" s="102" t="s">
        <v>83</v>
      </c>
      <c r="V47" s="12">
        <f>+T47*0.18</f>
        <v>330120</v>
      </c>
      <c r="W47" s="12">
        <f aca="true" t="shared" si="13" ref="W47:W78">+T47-V47</f>
        <v>1503880</v>
      </c>
      <c r="X47" s="116"/>
      <c r="Y47" s="117">
        <f t="shared" si="5"/>
        <v>2149480</v>
      </c>
      <c r="Z47" s="12"/>
      <c r="AA47" s="12">
        <f t="shared" si="6"/>
        <v>2149480</v>
      </c>
      <c r="AB47" s="12">
        <v>0.02</v>
      </c>
      <c r="AC47" s="12">
        <f t="shared" si="7"/>
        <v>429.89599999999996</v>
      </c>
      <c r="AD47" s="42"/>
      <c r="AE47" s="12"/>
    </row>
    <row r="48" spans="1:31" s="46" customFormat="1" ht="21">
      <c r="A48" s="42"/>
      <c r="B48" s="42"/>
      <c r="C48" s="45"/>
      <c r="D48" s="31"/>
      <c r="E48" s="31"/>
      <c r="F48" s="47"/>
      <c r="G48" s="42"/>
      <c r="H48" s="42"/>
      <c r="I48" s="44"/>
      <c r="J48" s="44">
        <f t="shared" si="11"/>
        <v>0</v>
      </c>
      <c r="K48" s="42"/>
      <c r="L48" s="42">
        <f t="shared" si="1"/>
        <v>0</v>
      </c>
      <c r="M48" s="42"/>
      <c r="N48" s="42"/>
      <c r="O48" s="100"/>
      <c r="P48" s="31"/>
      <c r="Q48" s="100"/>
      <c r="R48" s="100"/>
      <c r="S48" s="42"/>
      <c r="T48" s="12">
        <f t="shared" si="12"/>
        <v>0</v>
      </c>
      <c r="U48" s="45"/>
      <c r="V48" s="12">
        <f>+T48*0</f>
        <v>0</v>
      </c>
      <c r="W48" s="12">
        <f t="shared" si="13"/>
        <v>0</v>
      </c>
      <c r="X48" s="116"/>
      <c r="Y48" s="117">
        <f t="shared" si="5"/>
        <v>0</v>
      </c>
      <c r="Z48" s="12"/>
      <c r="AA48" s="12">
        <f t="shared" si="6"/>
        <v>0</v>
      </c>
      <c r="AB48" s="12"/>
      <c r="AC48" s="12">
        <f t="shared" si="7"/>
        <v>0</v>
      </c>
      <c r="AD48" s="42"/>
      <c r="AE48" s="12"/>
    </row>
    <row r="49" spans="1:31" s="46" customFormat="1" ht="21">
      <c r="A49" s="42"/>
      <c r="B49" s="42"/>
      <c r="C49" s="45"/>
      <c r="D49" s="31"/>
      <c r="E49" s="31"/>
      <c r="F49" s="47"/>
      <c r="G49" s="42"/>
      <c r="H49" s="42"/>
      <c r="I49" s="44"/>
      <c r="J49" s="44">
        <f t="shared" si="11"/>
        <v>0</v>
      </c>
      <c r="K49" s="42"/>
      <c r="L49" s="42">
        <f t="shared" si="1"/>
        <v>0</v>
      </c>
      <c r="M49" s="42"/>
      <c r="N49" s="42"/>
      <c r="O49" s="42"/>
      <c r="P49" s="31"/>
      <c r="Q49" s="42"/>
      <c r="R49" s="42"/>
      <c r="S49" s="42"/>
      <c r="T49" s="12">
        <f t="shared" si="12"/>
        <v>0</v>
      </c>
      <c r="U49" s="45"/>
      <c r="V49" s="12">
        <f>+T49*0</f>
        <v>0</v>
      </c>
      <c r="W49" s="12">
        <f t="shared" si="13"/>
        <v>0</v>
      </c>
      <c r="X49" s="116"/>
      <c r="Y49" s="117">
        <f aca="true" t="shared" si="14" ref="Y49:Y76">+L49+W49</f>
        <v>0</v>
      </c>
      <c r="Z49" s="12"/>
      <c r="AA49" s="12">
        <f t="shared" si="6"/>
        <v>0</v>
      </c>
      <c r="AB49" s="12"/>
      <c r="AC49" s="12">
        <f t="shared" si="7"/>
        <v>0</v>
      </c>
      <c r="AD49" s="42"/>
      <c r="AE49" s="12"/>
    </row>
    <row r="50" spans="1:31" s="46" customFormat="1" ht="21">
      <c r="A50" s="42" t="s">
        <v>0</v>
      </c>
      <c r="B50" s="42" t="s">
        <v>1</v>
      </c>
      <c r="C50" s="45" t="s">
        <v>1739</v>
      </c>
      <c r="D50" s="51" t="s">
        <v>1740</v>
      </c>
      <c r="E50" s="29" t="s">
        <v>907</v>
      </c>
      <c r="F50" s="47" t="s">
        <v>137</v>
      </c>
      <c r="G50" s="42"/>
      <c r="H50" s="42"/>
      <c r="I50" s="44">
        <v>63.8</v>
      </c>
      <c r="J50" s="44">
        <f t="shared" si="11"/>
        <v>63.8</v>
      </c>
      <c r="K50" s="42">
        <v>15000</v>
      </c>
      <c r="L50" s="42">
        <f t="shared" si="1"/>
        <v>957000</v>
      </c>
      <c r="M50" s="42"/>
      <c r="N50" s="42" t="s">
        <v>64</v>
      </c>
      <c r="O50" s="104" t="s">
        <v>446</v>
      </c>
      <c r="P50" s="45" t="s">
        <v>137</v>
      </c>
      <c r="Q50" s="104">
        <v>63</v>
      </c>
      <c r="R50" s="100"/>
      <c r="S50" s="42">
        <v>6550</v>
      </c>
      <c r="T50" s="12">
        <f t="shared" si="12"/>
        <v>412650</v>
      </c>
      <c r="U50" s="45" t="s">
        <v>187</v>
      </c>
      <c r="V50" s="12">
        <f>+T50*0.08</f>
        <v>33012</v>
      </c>
      <c r="W50" s="12">
        <f t="shared" si="13"/>
        <v>379638</v>
      </c>
      <c r="X50" s="116"/>
      <c r="Y50" s="117">
        <f t="shared" si="14"/>
        <v>1336638</v>
      </c>
      <c r="Z50" s="12"/>
      <c r="AA50" s="12">
        <f t="shared" si="6"/>
        <v>1336638</v>
      </c>
      <c r="AB50" s="12">
        <v>0.02</v>
      </c>
      <c r="AC50" s="12">
        <f t="shared" si="7"/>
        <v>267.3276</v>
      </c>
      <c r="AD50" s="42"/>
      <c r="AE50" s="12"/>
    </row>
    <row r="51" spans="1:31" s="46" customFormat="1" ht="21">
      <c r="A51" s="42"/>
      <c r="B51" s="42"/>
      <c r="C51" s="45"/>
      <c r="D51" s="31"/>
      <c r="E51" s="31"/>
      <c r="F51" s="47"/>
      <c r="G51" s="42"/>
      <c r="H51" s="42"/>
      <c r="I51" s="44"/>
      <c r="J51" s="44">
        <f t="shared" si="11"/>
        <v>0</v>
      </c>
      <c r="K51" s="42"/>
      <c r="L51" s="42">
        <f t="shared" si="1"/>
        <v>0</v>
      </c>
      <c r="M51" s="42"/>
      <c r="N51" s="42"/>
      <c r="O51" s="100"/>
      <c r="P51" s="31"/>
      <c r="Q51" s="100"/>
      <c r="R51" s="100"/>
      <c r="S51" s="42"/>
      <c r="T51" s="12">
        <f t="shared" si="12"/>
        <v>0</v>
      </c>
      <c r="U51" s="45"/>
      <c r="V51" s="12">
        <f>+T51*0</f>
        <v>0</v>
      </c>
      <c r="W51" s="12">
        <f t="shared" si="13"/>
        <v>0</v>
      </c>
      <c r="X51" s="116"/>
      <c r="Y51" s="117">
        <f t="shared" si="14"/>
        <v>0</v>
      </c>
      <c r="Z51" s="12"/>
      <c r="AA51" s="12">
        <f t="shared" si="6"/>
        <v>0</v>
      </c>
      <c r="AB51" s="12"/>
      <c r="AC51" s="12">
        <f t="shared" si="7"/>
        <v>0</v>
      </c>
      <c r="AD51" s="42"/>
      <c r="AE51" s="12"/>
    </row>
    <row r="52" spans="1:31" s="46" customFormat="1" ht="21">
      <c r="A52" s="42"/>
      <c r="B52" s="42"/>
      <c r="C52" s="45"/>
      <c r="D52" s="31"/>
      <c r="E52" s="31"/>
      <c r="F52" s="47"/>
      <c r="G52" s="42"/>
      <c r="H52" s="42"/>
      <c r="I52" s="44"/>
      <c r="J52" s="44">
        <f t="shared" si="11"/>
        <v>0</v>
      </c>
      <c r="K52" s="42"/>
      <c r="L52" s="42">
        <f aca="true" t="shared" si="15" ref="L52:L76">+K52*J52</f>
        <v>0</v>
      </c>
      <c r="M52" s="42"/>
      <c r="N52" s="42"/>
      <c r="O52" s="42"/>
      <c r="P52" s="31"/>
      <c r="Q52" s="42"/>
      <c r="R52" s="42"/>
      <c r="S52" s="42"/>
      <c r="T52" s="12">
        <f t="shared" si="12"/>
        <v>0</v>
      </c>
      <c r="U52" s="45"/>
      <c r="V52" s="12">
        <f>+T52*0</f>
        <v>0</v>
      </c>
      <c r="W52" s="12">
        <f t="shared" si="13"/>
        <v>0</v>
      </c>
      <c r="X52" s="116"/>
      <c r="Y52" s="117">
        <f t="shared" si="14"/>
        <v>0</v>
      </c>
      <c r="Z52" s="12"/>
      <c r="AA52" s="12">
        <f aca="true" t="shared" si="16" ref="AA52:AA76">+Y52-Z52</f>
        <v>0</v>
      </c>
      <c r="AB52" s="12"/>
      <c r="AC52" s="12">
        <f aca="true" t="shared" si="17" ref="AC52:AC76">+AA52*AB52/100</f>
        <v>0</v>
      </c>
      <c r="AD52" s="42"/>
      <c r="AE52" s="12"/>
    </row>
    <row r="53" spans="1:31" s="46" customFormat="1" ht="21">
      <c r="A53" s="42" t="s">
        <v>0</v>
      </c>
      <c r="B53" s="42" t="s">
        <v>1</v>
      </c>
      <c r="C53" s="45" t="s">
        <v>1741</v>
      </c>
      <c r="D53" s="45" t="s">
        <v>1742</v>
      </c>
      <c r="E53" s="29" t="s">
        <v>907</v>
      </c>
      <c r="F53" s="47" t="s">
        <v>137</v>
      </c>
      <c r="G53" s="42"/>
      <c r="H53" s="42"/>
      <c r="I53" s="44">
        <v>16</v>
      </c>
      <c r="J53" s="44">
        <f t="shared" si="11"/>
        <v>16</v>
      </c>
      <c r="K53" s="42">
        <v>15000</v>
      </c>
      <c r="L53" s="42">
        <f t="shared" si="15"/>
        <v>240000</v>
      </c>
      <c r="M53" s="42"/>
      <c r="N53" s="42" t="s">
        <v>60</v>
      </c>
      <c r="O53" s="104" t="s">
        <v>446</v>
      </c>
      <c r="P53" s="45" t="s">
        <v>137</v>
      </c>
      <c r="Q53" s="104">
        <v>96</v>
      </c>
      <c r="R53" s="100"/>
      <c r="S53" s="42">
        <v>7550</v>
      </c>
      <c r="T53" s="12">
        <f t="shared" si="12"/>
        <v>724800</v>
      </c>
      <c r="U53" s="102" t="s">
        <v>76</v>
      </c>
      <c r="V53" s="12">
        <f>+T53*0.14</f>
        <v>101472.00000000001</v>
      </c>
      <c r="W53" s="12">
        <f t="shared" si="13"/>
        <v>623328</v>
      </c>
      <c r="X53" s="116"/>
      <c r="Y53" s="117">
        <f t="shared" si="14"/>
        <v>863328</v>
      </c>
      <c r="Z53" s="12"/>
      <c r="AA53" s="12">
        <f t="shared" si="16"/>
        <v>863328</v>
      </c>
      <c r="AB53" s="12">
        <v>0.02</v>
      </c>
      <c r="AC53" s="12">
        <f t="shared" si="17"/>
        <v>172.6656</v>
      </c>
      <c r="AD53" s="42"/>
      <c r="AE53" s="12"/>
    </row>
    <row r="54" spans="1:31" s="46" customFormat="1" ht="21">
      <c r="A54" s="42"/>
      <c r="B54" s="42"/>
      <c r="C54" s="45"/>
      <c r="D54" s="31"/>
      <c r="E54" s="31"/>
      <c r="F54" s="47"/>
      <c r="G54" s="42"/>
      <c r="H54" s="42"/>
      <c r="I54" s="44"/>
      <c r="J54" s="44">
        <f t="shared" si="11"/>
        <v>0</v>
      </c>
      <c r="K54" s="42"/>
      <c r="L54" s="42">
        <f t="shared" si="15"/>
        <v>0</v>
      </c>
      <c r="M54" s="42"/>
      <c r="N54" s="42"/>
      <c r="O54" s="100"/>
      <c r="P54" s="31"/>
      <c r="Q54" s="100"/>
      <c r="R54" s="100"/>
      <c r="S54" s="42"/>
      <c r="T54" s="12">
        <f t="shared" si="12"/>
        <v>0</v>
      </c>
      <c r="U54" s="45"/>
      <c r="V54" s="12">
        <f>+T54*0</f>
        <v>0</v>
      </c>
      <c r="W54" s="12">
        <f t="shared" si="13"/>
        <v>0</v>
      </c>
      <c r="X54" s="116"/>
      <c r="Y54" s="117">
        <f t="shared" si="14"/>
        <v>0</v>
      </c>
      <c r="Z54" s="12"/>
      <c r="AA54" s="12">
        <f t="shared" si="16"/>
        <v>0</v>
      </c>
      <c r="AB54" s="12"/>
      <c r="AC54" s="12">
        <f t="shared" si="17"/>
        <v>0</v>
      </c>
      <c r="AD54" s="42"/>
      <c r="AE54" s="12"/>
    </row>
    <row r="55" spans="1:31" s="46" customFormat="1" ht="21">
      <c r="A55" s="42"/>
      <c r="B55" s="42"/>
      <c r="C55" s="45"/>
      <c r="D55" s="31"/>
      <c r="E55" s="31"/>
      <c r="F55" s="47"/>
      <c r="G55" s="42"/>
      <c r="H55" s="42"/>
      <c r="I55" s="44"/>
      <c r="J55" s="44">
        <f t="shared" si="11"/>
        <v>0</v>
      </c>
      <c r="K55" s="42"/>
      <c r="L55" s="42">
        <f t="shared" si="15"/>
        <v>0</v>
      </c>
      <c r="M55" s="42"/>
      <c r="N55" s="42"/>
      <c r="O55" s="42"/>
      <c r="P55" s="31"/>
      <c r="Q55" s="42"/>
      <c r="R55" s="42"/>
      <c r="S55" s="42"/>
      <c r="T55" s="12">
        <f t="shared" si="12"/>
        <v>0</v>
      </c>
      <c r="U55" s="45"/>
      <c r="V55" s="12">
        <f>+T55*0</f>
        <v>0</v>
      </c>
      <c r="W55" s="12">
        <f t="shared" si="13"/>
        <v>0</v>
      </c>
      <c r="X55" s="116"/>
      <c r="Y55" s="117">
        <f t="shared" si="14"/>
        <v>0</v>
      </c>
      <c r="Z55" s="12"/>
      <c r="AA55" s="12">
        <f t="shared" si="16"/>
        <v>0</v>
      </c>
      <c r="AB55" s="12"/>
      <c r="AC55" s="12">
        <f t="shared" si="17"/>
        <v>0</v>
      </c>
      <c r="AD55" s="42"/>
      <c r="AE55" s="12"/>
    </row>
    <row r="56" spans="1:31" s="46" customFormat="1" ht="21">
      <c r="A56" s="42" t="s">
        <v>0</v>
      </c>
      <c r="B56" s="42" t="s">
        <v>1</v>
      </c>
      <c r="C56" s="45" t="s">
        <v>524</v>
      </c>
      <c r="D56" s="45" t="s">
        <v>1743</v>
      </c>
      <c r="E56" s="10" t="s">
        <v>909</v>
      </c>
      <c r="F56" s="47" t="s">
        <v>137</v>
      </c>
      <c r="G56" s="42"/>
      <c r="H56" s="42"/>
      <c r="I56" s="44">
        <v>50.7</v>
      </c>
      <c r="J56" s="44">
        <f t="shared" si="11"/>
        <v>50.7</v>
      </c>
      <c r="K56" s="42">
        <v>12000</v>
      </c>
      <c r="L56" s="42">
        <f t="shared" si="15"/>
        <v>608400</v>
      </c>
      <c r="M56" s="42"/>
      <c r="N56" s="42" t="s">
        <v>64</v>
      </c>
      <c r="O56" s="104" t="s">
        <v>446</v>
      </c>
      <c r="P56" s="45" t="s">
        <v>137</v>
      </c>
      <c r="Q56" s="104">
        <v>126</v>
      </c>
      <c r="R56" s="100"/>
      <c r="S56" s="42">
        <v>6550</v>
      </c>
      <c r="T56" s="12">
        <f t="shared" si="12"/>
        <v>825300</v>
      </c>
      <c r="U56" s="102" t="s">
        <v>74</v>
      </c>
      <c r="V56" s="12">
        <f>+T56*0.36</f>
        <v>297108</v>
      </c>
      <c r="W56" s="12">
        <f t="shared" si="13"/>
        <v>528192</v>
      </c>
      <c r="X56" s="116"/>
      <c r="Y56" s="117">
        <f t="shared" si="14"/>
        <v>1136592</v>
      </c>
      <c r="Z56" s="12"/>
      <c r="AA56" s="12">
        <f t="shared" si="16"/>
        <v>1136592</v>
      </c>
      <c r="AB56" s="12">
        <v>0.02</v>
      </c>
      <c r="AC56" s="12">
        <f t="shared" si="17"/>
        <v>227.3184</v>
      </c>
      <c r="AD56" s="42"/>
      <c r="AE56" s="12"/>
    </row>
    <row r="57" spans="1:31" s="46" customFormat="1" ht="21">
      <c r="A57" s="42"/>
      <c r="B57" s="42"/>
      <c r="C57" s="45"/>
      <c r="D57" s="31"/>
      <c r="E57" s="31"/>
      <c r="F57" s="47"/>
      <c r="G57" s="42"/>
      <c r="H57" s="42"/>
      <c r="I57" s="44"/>
      <c r="J57" s="44">
        <f t="shared" si="11"/>
        <v>0</v>
      </c>
      <c r="K57" s="42"/>
      <c r="L57" s="42">
        <f t="shared" si="15"/>
        <v>0</v>
      </c>
      <c r="M57" s="42"/>
      <c r="N57" s="42"/>
      <c r="O57" s="100"/>
      <c r="P57" s="31"/>
      <c r="Q57" s="100"/>
      <c r="R57" s="100"/>
      <c r="S57" s="42"/>
      <c r="T57" s="12">
        <f t="shared" si="12"/>
        <v>0</v>
      </c>
      <c r="U57" s="45"/>
      <c r="V57" s="12">
        <f>+T57*0</f>
        <v>0</v>
      </c>
      <c r="W57" s="12">
        <f t="shared" si="13"/>
        <v>0</v>
      </c>
      <c r="X57" s="116"/>
      <c r="Y57" s="117">
        <f t="shared" si="14"/>
        <v>0</v>
      </c>
      <c r="Z57" s="12"/>
      <c r="AA57" s="12">
        <f t="shared" si="16"/>
        <v>0</v>
      </c>
      <c r="AB57" s="12"/>
      <c r="AC57" s="12">
        <f t="shared" si="17"/>
        <v>0</v>
      </c>
      <c r="AD57" s="42"/>
      <c r="AE57" s="12"/>
    </row>
    <row r="58" spans="1:31" s="46" customFormat="1" ht="21">
      <c r="A58" s="42"/>
      <c r="B58" s="42"/>
      <c r="C58" s="45"/>
      <c r="D58" s="31"/>
      <c r="E58" s="31"/>
      <c r="F58" s="47"/>
      <c r="G58" s="42"/>
      <c r="H58" s="42"/>
      <c r="I58" s="44"/>
      <c r="J58" s="44">
        <f t="shared" si="11"/>
        <v>0</v>
      </c>
      <c r="K58" s="42"/>
      <c r="L58" s="42">
        <f t="shared" si="15"/>
        <v>0</v>
      </c>
      <c r="M58" s="42"/>
      <c r="N58" s="42"/>
      <c r="O58" s="42"/>
      <c r="P58" s="31"/>
      <c r="Q58" s="42"/>
      <c r="R58" s="42"/>
      <c r="S58" s="42"/>
      <c r="T58" s="12">
        <f t="shared" si="12"/>
        <v>0</v>
      </c>
      <c r="U58" s="45"/>
      <c r="V58" s="12">
        <f>+T58*0</f>
        <v>0</v>
      </c>
      <c r="W58" s="12">
        <f t="shared" si="13"/>
        <v>0</v>
      </c>
      <c r="X58" s="116"/>
      <c r="Y58" s="117">
        <f t="shared" si="14"/>
        <v>0</v>
      </c>
      <c r="Z58" s="12"/>
      <c r="AA58" s="12">
        <f t="shared" si="16"/>
        <v>0</v>
      </c>
      <c r="AB58" s="12"/>
      <c r="AC58" s="12">
        <f t="shared" si="17"/>
        <v>0</v>
      </c>
      <c r="AD58" s="42"/>
      <c r="AE58" s="12"/>
    </row>
    <row r="59" spans="1:31" s="46" customFormat="1" ht="21">
      <c r="A59" s="42" t="s">
        <v>0</v>
      </c>
      <c r="B59" s="42" t="s">
        <v>1</v>
      </c>
      <c r="C59" s="45" t="s">
        <v>1744</v>
      </c>
      <c r="D59" s="45" t="s">
        <v>1745</v>
      </c>
      <c r="E59" s="29" t="s">
        <v>907</v>
      </c>
      <c r="F59" s="47" t="s">
        <v>137</v>
      </c>
      <c r="G59" s="42"/>
      <c r="H59" s="42"/>
      <c r="I59" s="44">
        <v>21.8</v>
      </c>
      <c r="J59" s="44">
        <f t="shared" si="11"/>
        <v>21.8</v>
      </c>
      <c r="K59" s="42">
        <v>12000</v>
      </c>
      <c r="L59" s="42">
        <f t="shared" si="15"/>
        <v>261600</v>
      </c>
      <c r="M59" s="42"/>
      <c r="N59" s="42" t="s">
        <v>62</v>
      </c>
      <c r="O59" s="104" t="s">
        <v>446</v>
      </c>
      <c r="P59" s="45" t="s">
        <v>137</v>
      </c>
      <c r="Q59" s="104">
        <v>36</v>
      </c>
      <c r="R59" s="104"/>
      <c r="S59" s="42">
        <v>6750</v>
      </c>
      <c r="T59" s="12">
        <f t="shared" si="12"/>
        <v>243000</v>
      </c>
      <c r="U59" s="102" t="s">
        <v>78</v>
      </c>
      <c r="V59" s="12">
        <f>+T59*0.24</f>
        <v>58320</v>
      </c>
      <c r="W59" s="12">
        <f t="shared" si="13"/>
        <v>184680</v>
      </c>
      <c r="X59" s="116"/>
      <c r="Y59" s="117">
        <f t="shared" si="14"/>
        <v>446280</v>
      </c>
      <c r="Z59" s="12"/>
      <c r="AA59" s="12">
        <f t="shared" si="16"/>
        <v>446280</v>
      </c>
      <c r="AB59" s="12">
        <v>0.02</v>
      </c>
      <c r="AC59" s="12">
        <f t="shared" si="17"/>
        <v>89.256</v>
      </c>
      <c r="AD59" s="42"/>
      <c r="AE59" s="12"/>
    </row>
    <row r="60" spans="1:31" s="46" customFormat="1" ht="21">
      <c r="A60" s="42"/>
      <c r="B60" s="42"/>
      <c r="C60" s="45"/>
      <c r="D60" s="31"/>
      <c r="E60" s="31"/>
      <c r="F60" s="47"/>
      <c r="G60" s="42"/>
      <c r="H60" s="42"/>
      <c r="I60" s="44"/>
      <c r="J60" s="44">
        <f t="shared" si="11"/>
        <v>0</v>
      </c>
      <c r="K60" s="42"/>
      <c r="L60" s="42">
        <f t="shared" si="15"/>
        <v>0</v>
      </c>
      <c r="M60" s="42"/>
      <c r="N60" s="42"/>
      <c r="O60" s="100"/>
      <c r="P60" s="31"/>
      <c r="Q60" s="100"/>
      <c r="R60" s="100"/>
      <c r="S60" s="42"/>
      <c r="T60" s="12">
        <f t="shared" si="12"/>
        <v>0</v>
      </c>
      <c r="U60" s="45"/>
      <c r="V60" s="12">
        <f>+T60*0</f>
        <v>0</v>
      </c>
      <c r="W60" s="12">
        <f t="shared" si="13"/>
        <v>0</v>
      </c>
      <c r="X60" s="116"/>
      <c r="Y60" s="117">
        <f t="shared" si="14"/>
        <v>0</v>
      </c>
      <c r="Z60" s="12"/>
      <c r="AA60" s="12">
        <f t="shared" si="16"/>
        <v>0</v>
      </c>
      <c r="AB60" s="12"/>
      <c r="AC60" s="12">
        <f t="shared" si="17"/>
        <v>0</v>
      </c>
      <c r="AD60" s="42"/>
      <c r="AE60" s="12"/>
    </row>
    <row r="61" spans="1:31" s="46" customFormat="1" ht="21">
      <c r="A61" s="42"/>
      <c r="B61" s="42"/>
      <c r="C61" s="45"/>
      <c r="D61" s="31"/>
      <c r="E61" s="31"/>
      <c r="F61" s="47"/>
      <c r="G61" s="42"/>
      <c r="H61" s="42"/>
      <c r="I61" s="44"/>
      <c r="J61" s="44">
        <f t="shared" si="11"/>
        <v>0</v>
      </c>
      <c r="K61" s="42"/>
      <c r="L61" s="42">
        <f t="shared" si="15"/>
        <v>0</v>
      </c>
      <c r="M61" s="42"/>
      <c r="N61" s="42"/>
      <c r="O61" s="42"/>
      <c r="P61" s="31"/>
      <c r="Q61" s="42"/>
      <c r="R61" s="42"/>
      <c r="S61" s="42"/>
      <c r="T61" s="12">
        <f t="shared" si="12"/>
        <v>0</v>
      </c>
      <c r="U61" s="45"/>
      <c r="V61" s="12">
        <f>+T61*0</f>
        <v>0</v>
      </c>
      <c r="W61" s="12">
        <f t="shared" si="13"/>
        <v>0</v>
      </c>
      <c r="X61" s="116"/>
      <c r="Y61" s="117">
        <f t="shared" si="14"/>
        <v>0</v>
      </c>
      <c r="Z61" s="12"/>
      <c r="AA61" s="12">
        <f t="shared" si="16"/>
        <v>0</v>
      </c>
      <c r="AB61" s="12"/>
      <c r="AC61" s="12">
        <f t="shared" si="17"/>
        <v>0</v>
      </c>
      <c r="AD61" s="42"/>
      <c r="AE61" s="12"/>
    </row>
    <row r="62" spans="1:31" s="46" customFormat="1" ht="21">
      <c r="A62" s="42" t="s">
        <v>0</v>
      </c>
      <c r="B62" s="42" t="s">
        <v>1</v>
      </c>
      <c r="C62" s="45" t="s">
        <v>1746</v>
      </c>
      <c r="D62" s="45" t="s">
        <v>1747</v>
      </c>
      <c r="E62" s="29" t="s">
        <v>907</v>
      </c>
      <c r="F62" s="47" t="s">
        <v>137</v>
      </c>
      <c r="G62" s="42"/>
      <c r="H62" s="42"/>
      <c r="I62" s="44">
        <v>20</v>
      </c>
      <c r="J62" s="44">
        <f t="shared" si="11"/>
        <v>20</v>
      </c>
      <c r="K62" s="42">
        <v>15000</v>
      </c>
      <c r="L62" s="42">
        <f t="shared" si="15"/>
        <v>300000</v>
      </c>
      <c r="M62" s="42"/>
      <c r="N62" s="42" t="s">
        <v>62</v>
      </c>
      <c r="O62" s="104" t="s">
        <v>446</v>
      </c>
      <c r="P62" s="45" t="s">
        <v>137</v>
      </c>
      <c r="Q62" s="104">
        <v>55</v>
      </c>
      <c r="R62" s="104"/>
      <c r="S62" s="42">
        <v>6750</v>
      </c>
      <c r="T62" s="12">
        <f t="shared" si="12"/>
        <v>371250</v>
      </c>
      <c r="U62" s="102" t="s">
        <v>86</v>
      </c>
      <c r="V62" s="12">
        <f>+T62*0.26</f>
        <v>96525</v>
      </c>
      <c r="W62" s="12">
        <f t="shared" si="13"/>
        <v>274725</v>
      </c>
      <c r="X62" s="116"/>
      <c r="Y62" s="117">
        <f t="shared" si="14"/>
        <v>574725</v>
      </c>
      <c r="Z62" s="12"/>
      <c r="AA62" s="12">
        <f t="shared" si="16"/>
        <v>574725</v>
      </c>
      <c r="AB62" s="12">
        <v>0.02</v>
      </c>
      <c r="AC62" s="12">
        <f t="shared" si="17"/>
        <v>114.945</v>
      </c>
      <c r="AD62" s="42"/>
      <c r="AE62" s="12"/>
    </row>
    <row r="63" spans="1:31" s="46" customFormat="1" ht="21">
      <c r="A63" s="42"/>
      <c r="B63" s="42"/>
      <c r="C63" s="45"/>
      <c r="D63" s="31"/>
      <c r="E63" s="31"/>
      <c r="F63" s="47"/>
      <c r="G63" s="42"/>
      <c r="H63" s="42"/>
      <c r="I63" s="44"/>
      <c r="J63" s="44">
        <f t="shared" si="11"/>
        <v>0</v>
      </c>
      <c r="K63" s="42"/>
      <c r="L63" s="42">
        <f t="shared" si="15"/>
        <v>0</v>
      </c>
      <c r="M63" s="42"/>
      <c r="N63" s="42"/>
      <c r="O63" s="100"/>
      <c r="P63" s="31"/>
      <c r="Q63" s="100"/>
      <c r="R63" s="100"/>
      <c r="S63" s="42"/>
      <c r="T63" s="12">
        <f t="shared" si="12"/>
        <v>0</v>
      </c>
      <c r="U63" s="45"/>
      <c r="V63" s="12">
        <f>+T63*0</f>
        <v>0</v>
      </c>
      <c r="W63" s="12">
        <f t="shared" si="13"/>
        <v>0</v>
      </c>
      <c r="X63" s="116"/>
      <c r="Y63" s="117">
        <f t="shared" si="14"/>
        <v>0</v>
      </c>
      <c r="Z63" s="12"/>
      <c r="AA63" s="12">
        <f t="shared" si="16"/>
        <v>0</v>
      </c>
      <c r="AB63" s="12"/>
      <c r="AC63" s="12">
        <f t="shared" si="17"/>
        <v>0</v>
      </c>
      <c r="AD63" s="42"/>
      <c r="AE63" s="12"/>
    </row>
    <row r="64" spans="1:31" s="46" customFormat="1" ht="21">
      <c r="A64" s="42"/>
      <c r="B64" s="42"/>
      <c r="C64" s="45"/>
      <c r="D64" s="31"/>
      <c r="E64" s="31"/>
      <c r="F64" s="47"/>
      <c r="G64" s="42"/>
      <c r="H64" s="42"/>
      <c r="I64" s="44"/>
      <c r="J64" s="44">
        <f t="shared" si="11"/>
        <v>0</v>
      </c>
      <c r="K64" s="42"/>
      <c r="L64" s="42">
        <f t="shared" si="15"/>
        <v>0</v>
      </c>
      <c r="M64" s="42"/>
      <c r="N64" s="42"/>
      <c r="O64" s="42"/>
      <c r="P64" s="31"/>
      <c r="Q64" s="42"/>
      <c r="R64" s="42"/>
      <c r="S64" s="42"/>
      <c r="T64" s="12">
        <f t="shared" si="12"/>
        <v>0</v>
      </c>
      <c r="U64" s="45"/>
      <c r="V64" s="12">
        <f>+T64*0</f>
        <v>0</v>
      </c>
      <c r="W64" s="12">
        <f t="shared" si="13"/>
        <v>0</v>
      </c>
      <c r="X64" s="116"/>
      <c r="Y64" s="117">
        <f t="shared" si="14"/>
        <v>0</v>
      </c>
      <c r="Z64" s="12"/>
      <c r="AA64" s="12">
        <f t="shared" si="16"/>
        <v>0</v>
      </c>
      <c r="AB64" s="12"/>
      <c r="AC64" s="12">
        <f t="shared" si="17"/>
        <v>0</v>
      </c>
      <c r="AD64" s="42"/>
      <c r="AE64" s="12"/>
    </row>
    <row r="65" spans="1:31" s="46" customFormat="1" ht="21">
      <c r="A65" s="42" t="s">
        <v>0</v>
      </c>
      <c r="B65" s="42" t="s">
        <v>1</v>
      </c>
      <c r="C65" s="45" t="s">
        <v>1582</v>
      </c>
      <c r="D65" s="45" t="s">
        <v>1818</v>
      </c>
      <c r="E65" s="31" t="s">
        <v>908</v>
      </c>
      <c r="F65" s="47" t="s">
        <v>137</v>
      </c>
      <c r="G65" s="42"/>
      <c r="H65" s="42"/>
      <c r="I65" s="44">
        <v>22.8</v>
      </c>
      <c r="J65" s="44">
        <f aca="true" t="shared" si="18" ref="J65:J71">+I65+(H65*100)+(G65*400)</f>
        <v>22.8</v>
      </c>
      <c r="K65" s="42">
        <v>30000</v>
      </c>
      <c r="L65" s="42">
        <f t="shared" si="15"/>
        <v>684000</v>
      </c>
      <c r="M65" s="42"/>
      <c r="N65" s="42" t="s">
        <v>60</v>
      </c>
      <c r="O65" s="104" t="s">
        <v>446</v>
      </c>
      <c r="P65" s="45" t="s">
        <v>137</v>
      </c>
      <c r="Q65" s="104">
        <v>198</v>
      </c>
      <c r="R65" s="100"/>
      <c r="S65" s="42">
        <v>7550</v>
      </c>
      <c r="T65" s="12">
        <f aca="true" t="shared" si="19" ref="T65:T71">+Q65*S65</f>
        <v>1494900</v>
      </c>
      <c r="U65" s="102" t="s">
        <v>84</v>
      </c>
      <c r="V65" s="12">
        <f>+T65*0.2</f>
        <v>298980</v>
      </c>
      <c r="W65" s="12">
        <f aca="true" t="shared" si="20" ref="W65:W71">+T65-V65</f>
        <v>1195920</v>
      </c>
      <c r="X65" s="116"/>
      <c r="Y65" s="117">
        <f t="shared" si="14"/>
        <v>1879920</v>
      </c>
      <c r="Z65" s="12"/>
      <c r="AA65" s="12">
        <f t="shared" si="16"/>
        <v>1879920</v>
      </c>
      <c r="AB65" s="12">
        <v>0.02</v>
      </c>
      <c r="AC65" s="12">
        <f t="shared" si="17"/>
        <v>375.98400000000004</v>
      </c>
      <c r="AD65" s="42"/>
      <c r="AE65" s="12"/>
    </row>
    <row r="66" spans="1:31" s="46" customFormat="1" ht="21">
      <c r="A66" s="42" t="s">
        <v>0</v>
      </c>
      <c r="B66" s="42" t="s">
        <v>1</v>
      </c>
      <c r="C66" s="45" t="s">
        <v>1813</v>
      </c>
      <c r="D66" s="51" t="s">
        <v>1819</v>
      </c>
      <c r="E66" s="31" t="s">
        <v>908</v>
      </c>
      <c r="F66" s="47" t="s">
        <v>137</v>
      </c>
      <c r="G66" s="42"/>
      <c r="H66" s="42"/>
      <c r="I66" s="44">
        <v>15.6</v>
      </c>
      <c r="J66" s="44">
        <f t="shared" si="18"/>
        <v>15.6</v>
      </c>
      <c r="K66" s="42">
        <v>20000</v>
      </c>
      <c r="L66" s="42">
        <f>+K66*J66</f>
        <v>312000</v>
      </c>
      <c r="M66" s="42"/>
      <c r="N66" s="42" t="s">
        <v>60</v>
      </c>
      <c r="O66" s="104" t="s">
        <v>446</v>
      </c>
      <c r="P66" s="45" t="s">
        <v>137</v>
      </c>
      <c r="Q66" s="104">
        <v>96</v>
      </c>
      <c r="R66" s="100"/>
      <c r="S66" s="42">
        <v>7550</v>
      </c>
      <c r="T66" s="12">
        <f t="shared" si="19"/>
        <v>724800</v>
      </c>
      <c r="U66" s="102" t="s">
        <v>84</v>
      </c>
      <c r="V66" s="12">
        <f>+T66*0.2</f>
        <v>144960</v>
      </c>
      <c r="W66" s="12">
        <f t="shared" si="20"/>
        <v>579840</v>
      </c>
      <c r="X66" s="116"/>
      <c r="Y66" s="117">
        <f>+L66+W66</f>
        <v>891840</v>
      </c>
      <c r="Z66" s="12"/>
      <c r="AA66" s="12">
        <f>+Y66-Z66</f>
        <v>891840</v>
      </c>
      <c r="AB66" s="12">
        <v>0.02</v>
      </c>
      <c r="AC66" s="12">
        <f>+AA66*AB66/100</f>
        <v>178.368</v>
      </c>
      <c r="AD66" s="42"/>
      <c r="AE66" s="12"/>
    </row>
    <row r="67" spans="1:31" s="46" customFormat="1" ht="21">
      <c r="A67" s="42" t="s">
        <v>0</v>
      </c>
      <c r="B67" s="42" t="s">
        <v>1</v>
      </c>
      <c r="C67" s="45" t="s">
        <v>1814</v>
      </c>
      <c r="D67" s="51" t="s">
        <v>1820</v>
      </c>
      <c r="E67" s="31" t="s">
        <v>909</v>
      </c>
      <c r="F67" s="47" t="s">
        <v>140</v>
      </c>
      <c r="G67" s="42"/>
      <c r="H67" s="42"/>
      <c r="I67" s="44">
        <v>45.9</v>
      </c>
      <c r="J67" s="44">
        <f t="shared" si="18"/>
        <v>45.9</v>
      </c>
      <c r="K67" s="42">
        <v>12000</v>
      </c>
      <c r="L67" s="42">
        <f>+K67*J67</f>
        <v>550800</v>
      </c>
      <c r="M67" s="42"/>
      <c r="N67" s="42"/>
      <c r="O67" s="100"/>
      <c r="P67" s="31"/>
      <c r="Q67" s="100"/>
      <c r="R67" s="100"/>
      <c r="S67" s="42"/>
      <c r="T67" s="12">
        <f t="shared" si="19"/>
        <v>0</v>
      </c>
      <c r="U67" s="45"/>
      <c r="V67" s="12">
        <f>+T67*0</f>
        <v>0</v>
      </c>
      <c r="W67" s="12">
        <f t="shared" si="20"/>
        <v>0</v>
      </c>
      <c r="X67" s="116"/>
      <c r="Y67" s="117">
        <f>+L67+W67</f>
        <v>550800</v>
      </c>
      <c r="Z67" s="12"/>
      <c r="AA67" s="12">
        <f>+Y67-Z67</f>
        <v>550800</v>
      </c>
      <c r="AB67" s="12">
        <v>0.3</v>
      </c>
      <c r="AC67" s="12">
        <f>+AA67*AB67/100</f>
        <v>1652.4</v>
      </c>
      <c r="AD67" s="42"/>
      <c r="AE67" s="12"/>
    </row>
    <row r="68" spans="1:31" s="46" customFormat="1" ht="21">
      <c r="A68" s="42" t="s">
        <v>0</v>
      </c>
      <c r="B68" s="42" t="s">
        <v>1</v>
      </c>
      <c r="C68" s="45" t="s">
        <v>1815</v>
      </c>
      <c r="D68" s="45" t="s">
        <v>1821</v>
      </c>
      <c r="E68" s="29" t="s">
        <v>907</v>
      </c>
      <c r="F68" s="47" t="s">
        <v>143</v>
      </c>
      <c r="G68" s="42"/>
      <c r="H68" s="42"/>
      <c r="I68" s="44">
        <v>22.9</v>
      </c>
      <c r="J68" s="44">
        <f t="shared" si="18"/>
        <v>22.9</v>
      </c>
      <c r="K68" s="42">
        <v>20000</v>
      </c>
      <c r="L68" s="42">
        <f>+K68*J68</f>
        <v>458000</v>
      </c>
      <c r="M68" s="42"/>
      <c r="N68" s="42"/>
      <c r="O68" s="42"/>
      <c r="P68" s="31"/>
      <c r="Q68" s="42"/>
      <c r="R68" s="42"/>
      <c r="S68" s="42"/>
      <c r="T68" s="12">
        <f t="shared" si="19"/>
        <v>0</v>
      </c>
      <c r="U68" s="45"/>
      <c r="V68" s="12">
        <f>+T68*0</f>
        <v>0</v>
      </c>
      <c r="W68" s="12">
        <f t="shared" si="20"/>
        <v>0</v>
      </c>
      <c r="X68" s="116"/>
      <c r="Y68" s="117">
        <f>+L68+W68</f>
        <v>458000</v>
      </c>
      <c r="Z68" s="12"/>
      <c r="AA68" s="12">
        <f>+Y68-Z68</f>
        <v>458000</v>
      </c>
      <c r="AB68" s="12">
        <v>0.3</v>
      </c>
      <c r="AC68" s="12">
        <f>+AA68*AB68/100</f>
        <v>1374</v>
      </c>
      <c r="AD68" s="42"/>
      <c r="AE68" s="12"/>
    </row>
    <row r="69" spans="1:31" s="46" customFormat="1" ht="21">
      <c r="A69" s="42" t="s">
        <v>0</v>
      </c>
      <c r="B69" s="42" t="s">
        <v>1</v>
      </c>
      <c r="C69" s="45" t="s">
        <v>1816</v>
      </c>
      <c r="D69" s="45" t="s">
        <v>1822</v>
      </c>
      <c r="E69" s="29" t="s">
        <v>907</v>
      </c>
      <c r="F69" s="47" t="s">
        <v>143</v>
      </c>
      <c r="G69" s="42"/>
      <c r="H69" s="42"/>
      <c r="I69" s="44">
        <v>23.8</v>
      </c>
      <c r="J69" s="44">
        <f t="shared" si="18"/>
        <v>23.8</v>
      </c>
      <c r="K69" s="42">
        <v>20000</v>
      </c>
      <c r="L69" s="42">
        <f t="shared" si="15"/>
        <v>476000</v>
      </c>
      <c r="M69" s="42"/>
      <c r="N69" s="42" t="s">
        <v>112</v>
      </c>
      <c r="O69" s="104" t="s">
        <v>446</v>
      </c>
      <c r="P69" s="45">
        <v>3</v>
      </c>
      <c r="Q69" s="104">
        <v>131.25</v>
      </c>
      <c r="R69" s="104"/>
      <c r="S69" s="42">
        <v>3500</v>
      </c>
      <c r="T69" s="12">
        <f t="shared" si="19"/>
        <v>459375</v>
      </c>
      <c r="U69" s="45" t="s">
        <v>337</v>
      </c>
      <c r="V69" s="12">
        <f>+T69*0.06</f>
        <v>27562.5</v>
      </c>
      <c r="W69" s="12">
        <f t="shared" si="20"/>
        <v>431812.5</v>
      </c>
      <c r="X69" s="116"/>
      <c r="Y69" s="117">
        <f t="shared" si="14"/>
        <v>907812.5</v>
      </c>
      <c r="Z69" s="12"/>
      <c r="AA69" s="12">
        <f t="shared" si="16"/>
        <v>907812.5</v>
      </c>
      <c r="AB69" s="12">
        <v>0.3</v>
      </c>
      <c r="AC69" s="12">
        <f t="shared" si="17"/>
        <v>2723.4375</v>
      </c>
      <c r="AD69" s="42"/>
      <c r="AE69" s="12"/>
    </row>
    <row r="70" spans="1:31" s="46" customFormat="1" ht="21">
      <c r="A70" s="42" t="s">
        <v>0</v>
      </c>
      <c r="B70" s="42" t="s">
        <v>1</v>
      </c>
      <c r="C70" s="45" t="s">
        <v>1817</v>
      </c>
      <c r="D70" s="45" t="s">
        <v>1823</v>
      </c>
      <c r="E70" s="29" t="s">
        <v>907</v>
      </c>
      <c r="F70" s="47" t="s">
        <v>140</v>
      </c>
      <c r="G70" s="42"/>
      <c r="H70" s="42">
        <v>2</v>
      </c>
      <c r="I70" s="44"/>
      <c r="J70" s="44">
        <f t="shared" si="18"/>
        <v>200</v>
      </c>
      <c r="K70" s="42">
        <v>6000</v>
      </c>
      <c r="L70" s="42">
        <f t="shared" si="15"/>
        <v>1200000</v>
      </c>
      <c r="M70" s="42"/>
      <c r="N70" s="42"/>
      <c r="O70" s="100"/>
      <c r="P70" s="31"/>
      <c r="Q70" s="100"/>
      <c r="R70" s="100"/>
      <c r="S70" s="42"/>
      <c r="T70" s="12">
        <f t="shared" si="19"/>
        <v>0</v>
      </c>
      <c r="U70" s="45"/>
      <c r="V70" s="12">
        <f>+T70*0</f>
        <v>0</v>
      </c>
      <c r="W70" s="12">
        <f t="shared" si="20"/>
        <v>0</v>
      </c>
      <c r="X70" s="116"/>
      <c r="Y70" s="117">
        <f t="shared" si="14"/>
        <v>1200000</v>
      </c>
      <c r="Z70" s="12"/>
      <c r="AA70" s="12">
        <f t="shared" si="16"/>
        <v>1200000</v>
      </c>
      <c r="AB70" s="12">
        <v>0.3</v>
      </c>
      <c r="AC70" s="12">
        <f t="shared" si="17"/>
        <v>3600</v>
      </c>
      <c r="AD70" s="42"/>
      <c r="AE70" s="12"/>
    </row>
    <row r="71" spans="1:31" s="46" customFormat="1" ht="21">
      <c r="A71" s="42"/>
      <c r="B71" s="42"/>
      <c r="C71" s="45"/>
      <c r="D71" s="31"/>
      <c r="E71" s="31"/>
      <c r="F71" s="47"/>
      <c r="G71" s="42"/>
      <c r="H71" s="42"/>
      <c r="I71" s="44"/>
      <c r="J71" s="44">
        <f t="shared" si="18"/>
        <v>0</v>
      </c>
      <c r="K71" s="42"/>
      <c r="L71" s="42">
        <f t="shared" si="15"/>
        <v>0</v>
      </c>
      <c r="M71" s="42"/>
      <c r="N71" s="42"/>
      <c r="O71" s="42"/>
      <c r="P71" s="31"/>
      <c r="Q71" s="42"/>
      <c r="R71" s="42"/>
      <c r="S71" s="42"/>
      <c r="T71" s="12">
        <f t="shared" si="19"/>
        <v>0</v>
      </c>
      <c r="U71" s="45"/>
      <c r="V71" s="12">
        <f>+T71*0</f>
        <v>0</v>
      </c>
      <c r="W71" s="12">
        <f t="shared" si="20"/>
        <v>0</v>
      </c>
      <c r="X71" s="116"/>
      <c r="Y71" s="117">
        <f t="shared" si="14"/>
        <v>0</v>
      </c>
      <c r="Z71" s="12"/>
      <c r="AA71" s="12">
        <f t="shared" si="16"/>
        <v>0</v>
      </c>
      <c r="AB71" s="12"/>
      <c r="AC71" s="12">
        <f t="shared" si="17"/>
        <v>0</v>
      </c>
      <c r="AD71" s="42"/>
      <c r="AE71" s="12"/>
    </row>
    <row r="72" spans="1:31" s="46" customFormat="1" ht="21">
      <c r="A72" s="42" t="s">
        <v>0</v>
      </c>
      <c r="B72" s="42" t="s">
        <v>1</v>
      </c>
      <c r="C72" s="45" t="s">
        <v>1825</v>
      </c>
      <c r="D72" s="45" t="s">
        <v>1829</v>
      </c>
      <c r="E72" s="29" t="s">
        <v>907</v>
      </c>
      <c r="F72" s="47" t="s">
        <v>137</v>
      </c>
      <c r="G72" s="42"/>
      <c r="H72" s="42"/>
      <c r="I72" s="44">
        <v>14.6</v>
      </c>
      <c r="J72" s="44">
        <f>+I72+(H72*100)+(G72*400)</f>
        <v>14.6</v>
      </c>
      <c r="K72" s="42">
        <v>20000</v>
      </c>
      <c r="L72" s="42">
        <f t="shared" si="15"/>
        <v>292000</v>
      </c>
      <c r="M72" s="42"/>
      <c r="N72" s="42" t="s">
        <v>60</v>
      </c>
      <c r="O72" s="104" t="s">
        <v>446</v>
      </c>
      <c r="P72" s="45" t="s">
        <v>137</v>
      </c>
      <c r="Q72" s="104">
        <v>182</v>
      </c>
      <c r="R72" s="100"/>
      <c r="S72" s="42">
        <v>7550</v>
      </c>
      <c r="T72" s="12">
        <f>+Q72*S72</f>
        <v>1374100</v>
      </c>
      <c r="U72" s="102" t="s">
        <v>84</v>
      </c>
      <c r="V72" s="12">
        <f>+T72*0.2</f>
        <v>274820</v>
      </c>
      <c r="W72" s="12">
        <f>+T72-V72</f>
        <v>1099280</v>
      </c>
      <c r="X72" s="116"/>
      <c r="Y72" s="117">
        <f t="shared" si="14"/>
        <v>1391280</v>
      </c>
      <c r="Z72" s="12"/>
      <c r="AA72" s="12">
        <f t="shared" si="16"/>
        <v>1391280</v>
      </c>
      <c r="AB72" s="12">
        <v>0.02</v>
      </c>
      <c r="AC72" s="12">
        <f t="shared" si="17"/>
        <v>278.25600000000003</v>
      </c>
      <c r="AD72" s="42"/>
      <c r="AE72" s="12"/>
    </row>
    <row r="73" spans="1:31" s="46" customFormat="1" ht="21">
      <c r="A73" s="42" t="s">
        <v>0</v>
      </c>
      <c r="B73" s="42" t="s">
        <v>1</v>
      </c>
      <c r="C73" s="45" t="s">
        <v>1826</v>
      </c>
      <c r="D73" s="45" t="s">
        <v>1830</v>
      </c>
      <c r="E73" s="31" t="s">
        <v>908</v>
      </c>
      <c r="F73" s="47" t="s">
        <v>137</v>
      </c>
      <c r="G73" s="42"/>
      <c r="H73" s="42"/>
      <c r="I73" s="44">
        <v>18.3</v>
      </c>
      <c r="J73" s="44">
        <f>+I73+(H73*100)+(G73*400)</f>
        <v>18.3</v>
      </c>
      <c r="K73" s="42">
        <v>20000</v>
      </c>
      <c r="L73" s="42">
        <f t="shared" si="15"/>
        <v>366000</v>
      </c>
      <c r="M73" s="42"/>
      <c r="N73" s="42" t="s">
        <v>60</v>
      </c>
      <c r="O73" s="104" t="s">
        <v>446</v>
      </c>
      <c r="P73" s="45" t="s">
        <v>137</v>
      </c>
      <c r="Q73" s="104">
        <v>144</v>
      </c>
      <c r="R73" s="100"/>
      <c r="S73" s="42">
        <v>7550</v>
      </c>
      <c r="T73" s="12">
        <f>+Q73*S73</f>
        <v>1087200</v>
      </c>
      <c r="U73" s="102" t="s">
        <v>74</v>
      </c>
      <c r="V73" s="12">
        <f>+T73*0.36</f>
        <v>391392</v>
      </c>
      <c r="W73" s="12">
        <f>+T73-V73</f>
        <v>695808</v>
      </c>
      <c r="X73" s="116"/>
      <c r="Y73" s="117">
        <f t="shared" si="14"/>
        <v>1061808</v>
      </c>
      <c r="Z73" s="12">
        <f>+Y73</f>
        <v>1061808</v>
      </c>
      <c r="AA73" s="12">
        <f t="shared" si="16"/>
        <v>0</v>
      </c>
      <c r="AB73" s="12"/>
      <c r="AC73" s="12">
        <f t="shared" si="17"/>
        <v>0</v>
      </c>
      <c r="AD73" s="42" t="s">
        <v>906</v>
      </c>
      <c r="AE73" s="12"/>
    </row>
    <row r="74" spans="1:31" s="46" customFormat="1" ht="21">
      <c r="A74" s="42" t="s">
        <v>0</v>
      </c>
      <c r="B74" s="42" t="s">
        <v>1</v>
      </c>
      <c r="C74" s="45" t="s">
        <v>1827</v>
      </c>
      <c r="D74" s="51" t="s">
        <v>1831</v>
      </c>
      <c r="E74" s="31" t="s">
        <v>909</v>
      </c>
      <c r="F74" s="47" t="s">
        <v>137</v>
      </c>
      <c r="G74" s="42"/>
      <c r="H74" s="42"/>
      <c r="I74" s="44">
        <v>92</v>
      </c>
      <c r="J74" s="44">
        <f>+I74+(H74*100)+(G74*400)</f>
        <v>92</v>
      </c>
      <c r="K74" s="42">
        <v>15000</v>
      </c>
      <c r="L74" s="42">
        <f t="shared" si="15"/>
        <v>1380000</v>
      </c>
      <c r="M74" s="42"/>
      <c r="N74" s="42" t="s">
        <v>64</v>
      </c>
      <c r="O74" s="104" t="s">
        <v>446</v>
      </c>
      <c r="P74" s="104"/>
      <c r="Q74" s="104">
        <v>56</v>
      </c>
      <c r="R74" s="100"/>
      <c r="S74" s="42">
        <v>6550</v>
      </c>
      <c r="T74" s="12">
        <f>+Q74*S74</f>
        <v>366800</v>
      </c>
      <c r="U74" s="102" t="s">
        <v>74</v>
      </c>
      <c r="V74" s="12">
        <f>+T74*0.36</f>
        <v>132048</v>
      </c>
      <c r="W74" s="12">
        <f>+T74-V74</f>
        <v>234752</v>
      </c>
      <c r="X74" s="116"/>
      <c r="Y74" s="117">
        <f t="shared" si="14"/>
        <v>1614752</v>
      </c>
      <c r="Z74" s="12"/>
      <c r="AA74" s="12">
        <f t="shared" si="16"/>
        <v>1614752</v>
      </c>
      <c r="AB74" s="12">
        <v>0.02</v>
      </c>
      <c r="AC74" s="12">
        <f t="shared" si="17"/>
        <v>322.9504</v>
      </c>
      <c r="AD74" s="42"/>
      <c r="AE74" s="12"/>
    </row>
    <row r="75" spans="1:31" s="46" customFormat="1" ht="21">
      <c r="A75" s="42" t="s">
        <v>0</v>
      </c>
      <c r="B75" s="42" t="s">
        <v>1</v>
      </c>
      <c r="C75" s="45" t="s">
        <v>1828</v>
      </c>
      <c r="D75" s="45" t="s">
        <v>1832</v>
      </c>
      <c r="E75" s="29" t="s">
        <v>907</v>
      </c>
      <c r="F75" s="47" t="s">
        <v>143</v>
      </c>
      <c r="G75" s="42"/>
      <c r="H75" s="42"/>
      <c r="I75" s="44">
        <v>22.2</v>
      </c>
      <c r="J75" s="44">
        <f>+I75+(H75*100)+(G75*400)</f>
        <v>22.2</v>
      </c>
      <c r="K75" s="42">
        <v>20000</v>
      </c>
      <c r="L75" s="42">
        <f t="shared" si="15"/>
        <v>444000</v>
      </c>
      <c r="M75" s="42"/>
      <c r="N75" s="42" t="s">
        <v>60</v>
      </c>
      <c r="O75" s="104" t="s">
        <v>446</v>
      </c>
      <c r="P75" s="45" t="s">
        <v>137</v>
      </c>
      <c r="Q75" s="104">
        <v>84</v>
      </c>
      <c r="R75" s="100"/>
      <c r="S75" s="42">
        <v>7550</v>
      </c>
      <c r="T75" s="12">
        <f>+Q75*S75</f>
        <v>634200</v>
      </c>
      <c r="U75" s="102" t="s">
        <v>82</v>
      </c>
      <c r="V75" s="12">
        <f>+T75*0.16</f>
        <v>101472</v>
      </c>
      <c r="W75" s="12">
        <f>+T75-V75</f>
        <v>532728</v>
      </c>
      <c r="X75" s="116"/>
      <c r="Y75" s="117">
        <f t="shared" si="14"/>
        <v>976728</v>
      </c>
      <c r="Z75" s="12"/>
      <c r="AA75" s="12">
        <f t="shared" si="16"/>
        <v>976728</v>
      </c>
      <c r="AB75" s="12">
        <v>0.3</v>
      </c>
      <c r="AC75" s="12">
        <f t="shared" si="17"/>
        <v>2930.1839999999997</v>
      </c>
      <c r="AD75" s="42"/>
      <c r="AE75" s="12"/>
    </row>
    <row r="76" spans="1:31" s="46" customFormat="1" ht="21">
      <c r="A76" s="42"/>
      <c r="B76" s="42"/>
      <c r="C76" s="45"/>
      <c r="D76" s="31"/>
      <c r="E76" s="31"/>
      <c r="F76" s="47"/>
      <c r="G76" s="42"/>
      <c r="H76" s="42"/>
      <c r="I76" s="44"/>
      <c r="J76" s="44">
        <f>+I76+(H76*100)+(G76*400)</f>
        <v>0</v>
      </c>
      <c r="K76" s="42"/>
      <c r="L76" s="42">
        <f t="shared" si="15"/>
        <v>0</v>
      </c>
      <c r="M76" s="42"/>
      <c r="N76" s="42"/>
      <c r="O76" s="42"/>
      <c r="P76" s="31"/>
      <c r="Q76" s="42"/>
      <c r="R76" s="42"/>
      <c r="S76" s="42"/>
      <c r="T76" s="12">
        <f>+Q76*S76</f>
        <v>0</v>
      </c>
      <c r="U76" s="45"/>
      <c r="V76" s="12">
        <f>+T76*0</f>
        <v>0</v>
      </c>
      <c r="W76" s="12">
        <f>+T76-V76</f>
        <v>0</v>
      </c>
      <c r="X76" s="116"/>
      <c r="Y76" s="117">
        <f t="shared" si="14"/>
        <v>0</v>
      </c>
      <c r="Z76" s="12"/>
      <c r="AA76" s="12">
        <f t="shared" si="16"/>
        <v>0</v>
      </c>
      <c r="AB76" s="12"/>
      <c r="AC76" s="12">
        <f t="shared" si="17"/>
        <v>0</v>
      </c>
      <c r="AD76" s="42"/>
      <c r="AE76" s="12"/>
    </row>
  </sheetData>
  <sheetProtection/>
  <mergeCells count="7">
    <mergeCell ref="A1:Z1"/>
    <mergeCell ref="AA1:AB1"/>
    <mergeCell ref="G4:I4"/>
    <mergeCell ref="G2:L2"/>
    <mergeCell ref="M2:W2"/>
    <mergeCell ref="G3:I3"/>
    <mergeCell ref="U3:V3"/>
  </mergeCells>
  <printOptions/>
  <pageMargins left="0.31496062992125984" right="0.31496062992125984" top="0.7480314960629921" bottom="0.5905511811023623" header="0.31496062992125984" footer="0.31496062992125984"/>
  <pageSetup orientation="landscape" paperSize="5" scale="80" r:id="rId1"/>
  <headerFooter>
    <oddFooter>&amp;Cง...หน้าที่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E651"/>
  <sheetViews>
    <sheetView view="pageBreakPreview" zoomScale="90" zoomScaleSheetLayoutView="90" zoomScalePageLayoutView="0" workbookViewId="0" topLeftCell="A1">
      <pane ySplit="6" topLeftCell="A313" activePane="bottomLeft" state="frozen"/>
      <selection pane="topLeft" activeCell="A1" sqref="A1"/>
      <selection pane="bottomLeft" activeCell="E329" sqref="E329"/>
    </sheetView>
  </sheetViews>
  <sheetFormatPr defaultColWidth="9.140625" defaultRowHeight="15"/>
  <cols>
    <col min="1" max="1" width="3.57421875" style="52" customWidth="1"/>
    <col min="2" max="2" width="6.8515625" style="52" customWidth="1"/>
    <col min="3" max="3" width="6.8515625" style="53" customWidth="1"/>
    <col min="4" max="4" width="7.28125" style="54" customWidth="1"/>
    <col min="5" max="5" width="9.421875" style="52" customWidth="1"/>
    <col min="6" max="6" width="7.00390625" style="55" customWidth="1"/>
    <col min="7" max="8" width="3.57421875" style="52" customWidth="1"/>
    <col min="9" max="9" width="4.421875" style="52" customWidth="1"/>
    <col min="10" max="10" width="6.421875" style="52" customWidth="1"/>
    <col min="11" max="11" width="7.140625" style="56" customWidth="1"/>
    <col min="12" max="12" width="7.8515625" style="52" customWidth="1"/>
    <col min="13" max="13" width="3.421875" style="52" customWidth="1"/>
    <col min="14" max="14" width="9.28125" style="52" customWidth="1"/>
    <col min="15" max="15" width="8.421875" style="54" customWidth="1"/>
    <col min="16" max="16" width="7.28125" style="53" customWidth="1"/>
    <col min="17" max="17" width="8.57421875" style="52" customWidth="1"/>
    <col min="18" max="18" width="9.00390625" style="131" customWidth="1"/>
    <col min="19" max="19" width="8.00390625" style="52" customWidth="1"/>
    <col min="20" max="20" width="10.00390625" style="3" customWidth="1"/>
    <col min="21" max="21" width="6.28125" style="58" customWidth="1"/>
    <col min="22" max="22" width="9.140625" style="3" customWidth="1"/>
    <col min="23" max="23" width="10.57421875" style="3" customWidth="1"/>
    <col min="24" max="24" width="9.57421875" style="118" customWidth="1"/>
    <col min="25" max="25" width="10.28125" style="118" customWidth="1"/>
    <col min="26" max="26" width="8.57421875" style="3" customWidth="1"/>
    <col min="27" max="27" width="10.57421875" style="3" customWidth="1"/>
    <col min="28" max="28" width="5.421875" style="3" customWidth="1"/>
    <col min="29" max="29" width="8.57421875" style="3" hidden="1" customWidth="1"/>
    <col min="30" max="30" width="7.8515625" style="27" hidden="1" customWidth="1"/>
    <col min="31" max="31" width="8.28125" style="3" hidden="1" customWidth="1"/>
    <col min="32" max="16384" width="9.00390625" style="59" customWidth="1"/>
  </cols>
  <sheetData>
    <row r="1" spans="1:230" s="28" customFormat="1" ht="21">
      <c r="A1" s="156" t="s">
        <v>1857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8"/>
      <c r="M1" s="156"/>
      <c r="N1" s="156"/>
      <c r="O1" s="156"/>
      <c r="P1" s="156"/>
      <c r="Q1" s="156"/>
      <c r="R1" s="160"/>
      <c r="S1" s="156"/>
      <c r="T1" s="158"/>
      <c r="U1" s="156"/>
      <c r="V1" s="158"/>
      <c r="W1" s="158"/>
      <c r="X1" s="156"/>
      <c r="Y1" s="158"/>
      <c r="Z1" s="158"/>
      <c r="AA1" s="141" t="s">
        <v>1858</v>
      </c>
      <c r="AB1" s="142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</row>
    <row r="2" spans="1:230" s="32" customFormat="1" ht="21">
      <c r="A2" s="64" t="s">
        <v>0</v>
      </c>
      <c r="B2" s="64"/>
      <c r="C2" s="65"/>
      <c r="D2" s="64"/>
      <c r="E2" s="64"/>
      <c r="F2" s="64"/>
      <c r="G2" s="148" t="s">
        <v>56</v>
      </c>
      <c r="H2" s="148"/>
      <c r="I2" s="148"/>
      <c r="J2" s="149"/>
      <c r="K2" s="149"/>
      <c r="L2" s="150"/>
      <c r="M2" s="151" t="s">
        <v>57</v>
      </c>
      <c r="N2" s="149"/>
      <c r="O2" s="149"/>
      <c r="P2" s="149"/>
      <c r="Q2" s="149"/>
      <c r="R2" s="161"/>
      <c r="S2" s="149"/>
      <c r="T2" s="153"/>
      <c r="U2" s="149"/>
      <c r="V2" s="153"/>
      <c r="W2" s="150"/>
      <c r="X2" s="64" t="s">
        <v>34</v>
      </c>
      <c r="Y2" s="67" t="s">
        <v>31</v>
      </c>
      <c r="Z2" s="68" t="s">
        <v>44</v>
      </c>
      <c r="AA2" s="68" t="s">
        <v>43</v>
      </c>
      <c r="AB2" s="64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</row>
    <row r="3" spans="1:230" s="32" customFormat="1" ht="21.75" customHeight="1">
      <c r="A3" s="37" t="s">
        <v>38</v>
      </c>
      <c r="B3" s="37" t="s">
        <v>42</v>
      </c>
      <c r="C3" s="69" t="s">
        <v>902</v>
      </c>
      <c r="D3" s="37" t="s">
        <v>29</v>
      </c>
      <c r="E3" s="70" t="s">
        <v>903</v>
      </c>
      <c r="F3" s="71" t="s">
        <v>41</v>
      </c>
      <c r="G3" s="154" t="s">
        <v>40</v>
      </c>
      <c r="H3" s="148"/>
      <c r="I3" s="155"/>
      <c r="J3" s="72" t="s">
        <v>39</v>
      </c>
      <c r="K3" s="73" t="s">
        <v>35</v>
      </c>
      <c r="L3" s="107" t="s">
        <v>34</v>
      </c>
      <c r="M3" s="38" t="s">
        <v>38</v>
      </c>
      <c r="N3" s="33" t="s">
        <v>37</v>
      </c>
      <c r="O3" s="34" t="s">
        <v>41</v>
      </c>
      <c r="P3" s="35" t="s">
        <v>41</v>
      </c>
      <c r="Q3" s="62" t="s">
        <v>36</v>
      </c>
      <c r="R3" s="129" t="s">
        <v>22</v>
      </c>
      <c r="S3" s="37" t="s">
        <v>35</v>
      </c>
      <c r="T3" s="36" t="s">
        <v>34</v>
      </c>
      <c r="U3" s="143" t="s">
        <v>11</v>
      </c>
      <c r="V3" s="144"/>
      <c r="W3" s="36" t="s">
        <v>31</v>
      </c>
      <c r="X3" s="38" t="s">
        <v>33</v>
      </c>
      <c r="Y3" s="75" t="s">
        <v>1859</v>
      </c>
      <c r="Z3" s="39" t="s">
        <v>32</v>
      </c>
      <c r="AA3" s="39" t="s">
        <v>31</v>
      </c>
      <c r="AB3" s="38" t="s">
        <v>30</v>
      </c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</row>
    <row r="4" spans="1:230" s="32" customFormat="1" ht="36" customHeight="1">
      <c r="A4" s="37" t="s">
        <v>0</v>
      </c>
      <c r="B4" s="37" t="s">
        <v>58</v>
      </c>
      <c r="C4" s="69" t="s">
        <v>904</v>
      </c>
      <c r="D4" s="37"/>
      <c r="E4" s="70" t="s">
        <v>1860</v>
      </c>
      <c r="F4" s="71" t="s">
        <v>905</v>
      </c>
      <c r="G4" s="145" t="s">
        <v>28</v>
      </c>
      <c r="H4" s="146"/>
      <c r="I4" s="147"/>
      <c r="J4" s="77" t="s">
        <v>27</v>
      </c>
      <c r="K4" s="78" t="s">
        <v>25</v>
      </c>
      <c r="L4" s="36" t="s">
        <v>24</v>
      </c>
      <c r="M4" s="38"/>
      <c r="N4" s="37" t="s">
        <v>9</v>
      </c>
      <c r="O4" s="34" t="s">
        <v>9</v>
      </c>
      <c r="P4" s="35" t="s">
        <v>905</v>
      </c>
      <c r="Q4" s="62" t="s">
        <v>26</v>
      </c>
      <c r="R4" s="129" t="s">
        <v>1861</v>
      </c>
      <c r="S4" s="37" t="s">
        <v>1862</v>
      </c>
      <c r="T4" s="37" t="s">
        <v>9</v>
      </c>
      <c r="U4" s="37" t="s">
        <v>23</v>
      </c>
      <c r="V4" s="36" t="s">
        <v>22</v>
      </c>
      <c r="W4" s="36" t="s">
        <v>9</v>
      </c>
      <c r="X4" s="38" t="s">
        <v>21</v>
      </c>
      <c r="Y4" s="75" t="s">
        <v>9</v>
      </c>
      <c r="Z4" s="39" t="s">
        <v>20</v>
      </c>
      <c r="AA4" s="39" t="s">
        <v>19</v>
      </c>
      <c r="AB4" s="38" t="s">
        <v>18</v>
      </c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</row>
    <row r="5" spans="1:230" s="32" customFormat="1" ht="18.75" customHeight="1">
      <c r="A5" s="37" t="s">
        <v>0</v>
      </c>
      <c r="B5" s="37"/>
      <c r="C5" s="69"/>
      <c r="D5" s="37"/>
      <c r="E5" s="71" t="s">
        <v>1863</v>
      </c>
      <c r="F5" s="79" t="s">
        <v>17</v>
      </c>
      <c r="G5" s="64"/>
      <c r="H5" s="64"/>
      <c r="I5" s="64"/>
      <c r="J5" s="77" t="s">
        <v>16</v>
      </c>
      <c r="K5" s="78" t="s">
        <v>15</v>
      </c>
      <c r="L5" s="36" t="s">
        <v>58</v>
      </c>
      <c r="M5" s="38"/>
      <c r="N5" s="38"/>
      <c r="O5" s="37"/>
      <c r="P5" s="35" t="s">
        <v>17</v>
      </c>
      <c r="Q5" s="39" t="s">
        <v>14</v>
      </c>
      <c r="R5" s="129" t="s">
        <v>1864</v>
      </c>
      <c r="S5" s="38" t="s">
        <v>1865</v>
      </c>
      <c r="T5" s="36"/>
      <c r="U5" s="34" t="s">
        <v>12</v>
      </c>
      <c r="V5" s="36" t="s">
        <v>11</v>
      </c>
      <c r="W5" s="62" t="s">
        <v>10</v>
      </c>
      <c r="X5" s="38" t="s">
        <v>9</v>
      </c>
      <c r="Y5" s="75" t="s">
        <v>1866</v>
      </c>
      <c r="Z5" s="39" t="s">
        <v>8</v>
      </c>
      <c r="AA5" s="39" t="s">
        <v>1867</v>
      </c>
      <c r="AB5" s="38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</row>
    <row r="6" spans="1:230" s="32" customFormat="1" ht="21">
      <c r="A6" s="38" t="s">
        <v>0</v>
      </c>
      <c r="B6" s="38"/>
      <c r="C6" s="80"/>
      <c r="D6" s="38"/>
      <c r="E6" s="82"/>
      <c r="F6" s="82"/>
      <c r="G6" s="38" t="s">
        <v>7</v>
      </c>
      <c r="H6" s="38" t="s">
        <v>6</v>
      </c>
      <c r="I6" s="38" t="s">
        <v>59</v>
      </c>
      <c r="J6" s="77"/>
      <c r="K6" s="83" t="s">
        <v>3</v>
      </c>
      <c r="L6" s="39" t="s">
        <v>3</v>
      </c>
      <c r="M6" s="38"/>
      <c r="N6" s="84"/>
      <c r="O6" s="38"/>
      <c r="P6" s="40"/>
      <c r="Q6" s="39"/>
      <c r="R6" s="129" t="s">
        <v>17</v>
      </c>
      <c r="S6" s="38" t="s">
        <v>3</v>
      </c>
      <c r="T6" s="39" t="s">
        <v>3</v>
      </c>
      <c r="U6" s="38" t="s">
        <v>5</v>
      </c>
      <c r="V6" s="39" t="s">
        <v>3</v>
      </c>
      <c r="W6" s="39" t="s">
        <v>3</v>
      </c>
      <c r="X6" s="38" t="s">
        <v>3</v>
      </c>
      <c r="Y6" s="85" t="s">
        <v>1868</v>
      </c>
      <c r="Z6" s="39" t="s">
        <v>3</v>
      </c>
      <c r="AA6" s="39" t="s">
        <v>1869</v>
      </c>
      <c r="AB6" s="86" t="s">
        <v>4</v>
      </c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</row>
    <row r="7" spans="1:239" s="41" customFormat="1" ht="21">
      <c r="A7" s="38" t="s">
        <v>0</v>
      </c>
      <c r="B7" s="87"/>
      <c r="C7" s="88"/>
      <c r="D7" s="94"/>
      <c r="E7" s="90"/>
      <c r="F7" s="91"/>
      <c r="G7" s="87"/>
      <c r="H7" s="87"/>
      <c r="I7" s="87"/>
      <c r="J7" s="92"/>
      <c r="K7" s="93"/>
      <c r="L7" s="108"/>
      <c r="M7" s="87"/>
      <c r="N7" s="87"/>
      <c r="O7" s="87"/>
      <c r="P7" s="95"/>
      <c r="Q7" s="87"/>
      <c r="R7" s="130" t="s">
        <v>4</v>
      </c>
      <c r="S7" s="97"/>
      <c r="T7" s="98"/>
      <c r="U7" s="87"/>
      <c r="V7" s="98"/>
      <c r="W7" s="98"/>
      <c r="X7" s="87"/>
      <c r="Y7" s="99" t="s">
        <v>3</v>
      </c>
      <c r="Z7" s="98"/>
      <c r="AA7" s="99" t="s">
        <v>3</v>
      </c>
      <c r="AB7" s="87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IC7" s="32"/>
      <c r="ID7" s="32"/>
      <c r="IE7" s="32"/>
    </row>
    <row r="8" spans="1:31" s="46" customFormat="1" ht="21">
      <c r="A8" s="42" t="s">
        <v>0</v>
      </c>
      <c r="B8" s="42" t="s">
        <v>1</v>
      </c>
      <c r="C8" s="45">
        <v>18523</v>
      </c>
      <c r="D8" s="51" t="s">
        <v>66</v>
      </c>
      <c r="E8" s="10" t="s">
        <v>909</v>
      </c>
      <c r="F8" s="47" t="s">
        <v>167</v>
      </c>
      <c r="G8" s="42"/>
      <c r="H8" s="42"/>
      <c r="I8" s="44">
        <v>3.1</v>
      </c>
      <c r="J8" s="44">
        <f aca="true" t="shared" si="0" ref="J8:J26">+I8+(H8*100)+(G8*400)</f>
        <v>3.1</v>
      </c>
      <c r="K8" s="42">
        <v>15000</v>
      </c>
      <c r="L8" s="42">
        <f aca="true" t="shared" si="1" ref="L8:L30">+K8*J8</f>
        <v>46500</v>
      </c>
      <c r="M8" s="42">
        <v>1</v>
      </c>
      <c r="N8" s="42" t="s">
        <v>60</v>
      </c>
      <c r="O8" s="101" t="s">
        <v>446</v>
      </c>
      <c r="P8" s="45">
        <v>3</v>
      </c>
      <c r="Q8" s="100">
        <v>160</v>
      </c>
      <c r="R8" s="100">
        <v>33.33</v>
      </c>
      <c r="S8" s="42">
        <v>7550</v>
      </c>
      <c r="T8" s="12">
        <f aca="true" t="shared" si="2" ref="T8:T26">+Q8*S8</f>
        <v>1208000</v>
      </c>
      <c r="U8" s="45" t="s">
        <v>73</v>
      </c>
      <c r="V8" s="12">
        <f>+T8*0.05</f>
        <v>60400</v>
      </c>
      <c r="W8" s="12">
        <f aca="true" t="shared" si="3" ref="W8:W26">+T8-V8</f>
        <v>1147600</v>
      </c>
      <c r="X8" s="116"/>
      <c r="Y8" s="117">
        <f>+(L8+L10+L11)*(R8/100)+W8</f>
        <v>1544060.35</v>
      </c>
      <c r="Z8" s="12"/>
      <c r="AA8" s="12">
        <f aca="true" t="shared" si="4" ref="AA8:AA26">+Y8-Z8</f>
        <v>1544060.35</v>
      </c>
      <c r="AB8" s="12">
        <v>0.3</v>
      </c>
      <c r="AC8" s="12">
        <f aca="true" t="shared" si="5" ref="AC8:AC26">+AA8*AB8/100</f>
        <v>4632.18105</v>
      </c>
      <c r="AD8" s="121" t="s">
        <v>901</v>
      </c>
      <c r="AE8" s="12"/>
    </row>
    <row r="9" spans="1:31" s="46" customFormat="1" ht="21">
      <c r="A9" s="42" t="s">
        <v>0</v>
      </c>
      <c r="B9" s="42"/>
      <c r="C9" s="45"/>
      <c r="D9" s="45"/>
      <c r="E9" s="31"/>
      <c r="F9" s="47"/>
      <c r="G9" s="42"/>
      <c r="H9" s="42"/>
      <c r="I9" s="44"/>
      <c r="J9" s="44">
        <f>+I9+(H9*100)+(G9*400)</f>
        <v>0</v>
      </c>
      <c r="K9" s="42"/>
      <c r="L9" s="42">
        <f>+K9*J9</f>
        <v>0</v>
      </c>
      <c r="M9" s="42">
        <v>2</v>
      </c>
      <c r="N9" s="42" t="s">
        <v>60</v>
      </c>
      <c r="O9" s="101" t="s">
        <v>446</v>
      </c>
      <c r="P9" s="45">
        <v>2</v>
      </c>
      <c r="Q9" s="100">
        <v>320</v>
      </c>
      <c r="R9" s="100">
        <v>66.67</v>
      </c>
      <c r="S9" s="42">
        <v>7550</v>
      </c>
      <c r="T9" s="12">
        <f>+Q9*S9</f>
        <v>2416000</v>
      </c>
      <c r="U9" s="45" t="s">
        <v>73</v>
      </c>
      <c r="V9" s="12">
        <f>+T9*0.05</f>
        <v>120800</v>
      </c>
      <c r="W9" s="12">
        <f>+T9-V9</f>
        <v>2295200</v>
      </c>
      <c r="X9" s="116"/>
      <c r="Y9" s="117">
        <f>+(L8+L10+L11)*(R9/100)+W9</f>
        <v>3088239.6500000004</v>
      </c>
      <c r="Z9" s="12"/>
      <c r="AA9" s="12">
        <f>+Y9-Z9</f>
        <v>3088239.6500000004</v>
      </c>
      <c r="AB9" s="12">
        <v>0.02</v>
      </c>
      <c r="AC9" s="12">
        <f>+AA9*AB9/100</f>
        <v>617.6479300000001</v>
      </c>
      <c r="AD9" s="42"/>
      <c r="AE9" s="12"/>
    </row>
    <row r="10" spans="1:31" s="46" customFormat="1" ht="21">
      <c r="A10" s="42" t="s">
        <v>0</v>
      </c>
      <c r="B10" s="42" t="s">
        <v>1</v>
      </c>
      <c r="C10" s="45">
        <v>18541</v>
      </c>
      <c r="D10" s="51" t="s">
        <v>67</v>
      </c>
      <c r="E10" s="10" t="s">
        <v>909</v>
      </c>
      <c r="F10" s="47" t="s">
        <v>167</v>
      </c>
      <c r="G10" s="42"/>
      <c r="H10" s="42"/>
      <c r="I10" s="44">
        <v>20.6</v>
      </c>
      <c r="J10" s="44">
        <f t="shared" si="0"/>
        <v>20.6</v>
      </c>
      <c r="K10" s="42">
        <v>30000</v>
      </c>
      <c r="L10" s="42">
        <f t="shared" si="1"/>
        <v>618000</v>
      </c>
      <c r="M10" s="42"/>
      <c r="N10" s="42"/>
      <c r="O10" s="101"/>
      <c r="P10" s="45"/>
      <c r="Q10" s="42"/>
      <c r="R10" s="100"/>
      <c r="S10" s="42"/>
      <c r="T10" s="12">
        <f t="shared" si="2"/>
        <v>0</v>
      </c>
      <c r="U10" s="45"/>
      <c r="V10" s="12">
        <f>+T10*0</f>
        <v>0</v>
      </c>
      <c r="W10" s="12">
        <f t="shared" si="3"/>
        <v>0</v>
      </c>
      <c r="X10" s="116"/>
      <c r="Y10" s="117"/>
      <c r="Z10" s="12"/>
      <c r="AA10" s="12">
        <f t="shared" si="4"/>
        <v>0</v>
      </c>
      <c r="AB10" s="12"/>
      <c r="AC10" s="12">
        <f t="shared" si="5"/>
        <v>0</v>
      </c>
      <c r="AD10" s="42"/>
      <c r="AE10" s="12"/>
    </row>
    <row r="11" spans="1:31" s="46" customFormat="1" ht="21">
      <c r="A11" s="42" t="s">
        <v>0</v>
      </c>
      <c r="B11" s="42" t="s">
        <v>1</v>
      </c>
      <c r="C11" s="45">
        <v>18522</v>
      </c>
      <c r="D11" s="51" t="s">
        <v>68</v>
      </c>
      <c r="E11" s="10" t="s">
        <v>909</v>
      </c>
      <c r="F11" s="47" t="s">
        <v>167</v>
      </c>
      <c r="G11" s="42"/>
      <c r="H11" s="42"/>
      <c r="I11" s="44">
        <v>17.5</v>
      </c>
      <c r="J11" s="44">
        <f t="shared" si="0"/>
        <v>17.5</v>
      </c>
      <c r="K11" s="42">
        <v>30000</v>
      </c>
      <c r="L11" s="42">
        <f t="shared" si="1"/>
        <v>525000</v>
      </c>
      <c r="M11" s="42"/>
      <c r="N11" s="42"/>
      <c r="O11" s="101"/>
      <c r="P11" s="45"/>
      <c r="Q11" s="42"/>
      <c r="R11" s="100"/>
      <c r="S11" s="42"/>
      <c r="T11" s="12">
        <f t="shared" si="2"/>
        <v>0</v>
      </c>
      <c r="U11" s="45"/>
      <c r="V11" s="12">
        <f>+T11*0</f>
        <v>0</v>
      </c>
      <c r="W11" s="12">
        <f t="shared" si="3"/>
        <v>0</v>
      </c>
      <c r="X11" s="116"/>
      <c r="Y11" s="117"/>
      <c r="Z11" s="12"/>
      <c r="AA11" s="12">
        <f t="shared" si="4"/>
        <v>0</v>
      </c>
      <c r="AB11" s="12"/>
      <c r="AC11" s="12">
        <f t="shared" si="5"/>
        <v>0</v>
      </c>
      <c r="AD11" s="42"/>
      <c r="AE11" s="12"/>
    </row>
    <row r="12" spans="1:31" s="46" customFormat="1" ht="21">
      <c r="A12" s="42" t="s">
        <v>0</v>
      </c>
      <c r="B12" s="42" t="s">
        <v>1</v>
      </c>
      <c r="C12" s="45">
        <v>18556</v>
      </c>
      <c r="D12" s="51" t="s">
        <v>69</v>
      </c>
      <c r="E12" s="10" t="s">
        <v>909</v>
      </c>
      <c r="F12" s="47">
        <v>4</v>
      </c>
      <c r="G12" s="42"/>
      <c r="H12" s="42"/>
      <c r="I12" s="44">
        <v>20.5</v>
      </c>
      <c r="J12" s="44">
        <f t="shared" si="0"/>
        <v>20.5</v>
      </c>
      <c r="K12" s="42">
        <v>30000</v>
      </c>
      <c r="L12" s="42">
        <f t="shared" si="1"/>
        <v>615000</v>
      </c>
      <c r="M12" s="42"/>
      <c r="N12" s="42"/>
      <c r="O12" s="101"/>
      <c r="P12" s="45"/>
      <c r="Q12" s="42"/>
      <c r="R12" s="100"/>
      <c r="S12" s="42"/>
      <c r="T12" s="12">
        <f t="shared" si="2"/>
        <v>0</v>
      </c>
      <c r="U12" s="45"/>
      <c r="V12" s="12">
        <f>+T12*0</f>
        <v>0</v>
      </c>
      <c r="W12" s="12">
        <f t="shared" si="3"/>
        <v>0</v>
      </c>
      <c r="X12" s="116"/>
      <c r="Y12" s="117">
        <f>+L12+W12</f>
        <v>615000</v>
      </c>
      <c r="Z12" s="12"/>
      <c r="AA12" s="12">
        <f t="shared" si="4"/>
        <v>615000</v>
      </c>
      <c r="AB12" s="12">
        <v>0.3</v>
      </c>
      <c r="AC12" s="12">
        <f t="shared" si="5"/>
        <v>1845</v>
      </c>
      <c r="AD12" s="42"/>
      <c r="AE12" s="12"/>
    </row>
    <row r="13" spans="1:31" s="46" customFormat="1" ht="21">
      <c r="A13" s="42" t="s">
        <v>0</v>
      </c>
      <c r="B13" s="42" t="s">
        <v>1</v>
      </c>
      <c r="C13" s="45">
        <v>1058</v>
      </c>
      <c r="D13" s="45" t="s">
        <v>70</v>
      </c>
      <c r="E13" s="10" t="s">
        <v>909</v>
      </c>
      <c r="F13" s="47">
        <v>4</v>
      </c>
      <c r="G13" s="42">
        <v>1</v>
      </c>
      <c r="H13" s="42"/>
      <c r="I13" s="44">
        <v>85.4</v>
      </c>
      <c r="J13" s="44">
        <f t="shared" si="0"/>
        <v>485.4</v>
      </c>
      <c r="K13" s="42">
        <v>4000</v>
      </c>
      <c r="L13" s="42">
        <f t="shared" si="1"/>
        <v>1941600</v>
      </c>
      <c r="M13" s="42"/>
      <c r="N13" s="42"/>
      <c r="O13" s="101"/>
      <c r="P13" s="45"/>
      <c r="Q13" s="42"/>
      <c r="R13" s="100"/>
      <c r="S13" s="42"/>
      <c r="T13" s="12">
        <f t="shared" si="2"/>
        <v>0</v>
      </c>
      <c r="U13" s="45"/>
      <c r="V13" s="12">
        <f>+T13*0</f>
        <v>0</v>
      </c>
      <c r="W13" s="12">
        <f t="shared" si="3"/>
        <v>0</v>
      </c>
      <c r="X13" s="116"/>
      <c r="Y13" s="117">
        <f>+L13+W13</f>
        <v>1941600</v>
      </c>
      <c r="Z13" s="12"/>
      <c r="AA13" s="12">
        <f t="shared" si="4"/>
        <v>1941600</v>
      </c>
      <c r="AB13" s="12">
        <v>0.3</v>
      </c>
      <c r="AC13" s="12">
        <f t="shared" si="5"/>
        <v>5824.8</v>
      </c>
      <c r="AD13" s="42"/>
      <c r="AE13" s="12"/>
    </row>
    <row r="14" spans="1:31" s="46" customFormat="1" ht="21">
      <c r="A14" s="42" t="s">
        <v>0</v>
      </c>
      <c r="B14" s="42" t="s">
        <v>1</v>
      </c>
      <c r="C14" s="45">
        <v>1059</v>
      </c>
      <c r="D14" s="45" t="s">
        <v>71</v>
      </c>
      <c r="E14" s="10" t="s">
        <v>909</v>
      </c>
      <c r="F14" s="47" t="s">
        <v>137</v>
      </c>
      <c r="G14" s="42">
        <v>1</v>
      </c>
      <c r="H14" s="42">
        <v>1</v>
      </c>
      <c r="I14" s="44">
        <v>45.7</v>
      </c>
      <c r="J14" s="44">
        <f t="shared" si="0"/>
        <v>545.7</v>
      </c>
      <c r="K14" s="42">
        <v>15000</v>
      </c>
      <c r="L14" s="42">
        <f t="shared" si="1"/>
        <v>8185500.000000001</v>
      </c>
      <c r="M14" s="42"/>
      <c r="N14" s="42" t="s">
        <v>117</v>
      </c>
      <c r="O14" s="104" t="s">
        <v>446</v>
      </c>
      <c r="P14" s="45">
        <v>2</v>
      </c>
      <c r="Q14" s="104">
        <v>160</v>
      </c>
      <c r="R14" s="100"/>
      <c r="S14" s="42">
        <v>2500</v>
      </c>
      <c r="T14" s="12">
        <f t="shared" si="2"/>
        <v>400000</v>
      </c>
      <c r="U14" s="45" t="s">
        <v>73</v>
      </c>
      <c r="V14" s="12">
        <f>+T14*0.05</f>
        <v>20000</v>
      </c>
      <c r="W14" s="12">
        <f t="shared" si="3"/>
        <v>380000</v>
      </c>
      <c r="X14" s="116"/>
      <c r="Y14" s="117">
        <f>+L14+W14</f>
        <v>8565500</v>
      </c>
      <c r="Z14" s="12"/>
      <c r="AA14" s="12">
        <f t="shared" si="4"/>
        <v>8565500</v>
      </c>
      <c r="AB14" s="12">
        <v>0.02</v>
      </c>
      <c r="AC14" s="12">
        <f t="shared" si="5"/>
        <v>1713.1</v>
      </c>
      <c r="AD14" s="42"/>
      <c r="AE14" s="12"/>
    </row>
    <row r="15" spans="1:31" s="46" customFormat="1" ht="21">
      <c r="A15" s="42" t="s">
        <v>0</v>
      </c>
      <c r="B15" s="42" t="s">
        <v>1</v>
      </c>
      <c r="C15" s="45">
        <v>1060</v>
      </c>
      <c r="D15" s="51" t="s">
        <v>72</v>
      </c>
      <c r="E15" s="10" t="s">
        <v>909</v>
      </c>
      <c r="F15" s="47">
        <v>5</v>
      </c>
      <c r="G15" s="42">
        <v>1</v>
      </c>
      <c r="H15" s="42">
        <v>1</v>
      </c>
      <c r="I15" s="44">
        <v>89.7</v>
      </c>
      <c r="J15" s="44">
        <f t="shared" si="0"/>
        <v>589.7</v>
      </c>
      <c r="K15" s="42">
        <v>15000</v>
      </c>
      <c r="L15" s="42">
        <f t="shared" si="1"/>
        <v>8845500</v>
      </c>
      <c r="M15" s="42">
        <v>1</v>
      </c>
      <c r="N15" s="42" t="s">
        <v>64</v>
      </c>
      <c r="O15" s="101" t="s">
        <v>446</v>
      </c>
      <c r="P15" s="45">
        <v>3</v>
      </c>
      <c r="Q15" s="100">
        <v>348</v>
      </c>
      <c r="R15" s="100">
        <v>25.07</v>
      </c>
      <c r="S15" s="42">
        <v>6550</v>
      </c>
      <c r="T15" s="12">
        <f t="shared" si="2"/>
        <v>2279400</v>
      </c>
      <c r="U15" s="45" t="s">
        <v>74</v>
      </c>
      <c r="V15" s="12">
        <f>+T15*0.36</f>
        <v>820584</v>
      </c>
      <c r="W15" s="12">
        <f t="shared" si="3"/>
        <v>1458816</v>
      </c>
      <c r="X15" s="116"/>
      <c r="Y15" s="117">
        <f>+L15*(R15/100)+W15</f>
        <v>3676382.8499999996</v>
      </c>
      <c r="Z15" s="12"/>
      <c r="AA15" s="12">
        <f t="shared" si="4"/>
        <v>3676382.8499999996</v>
      </c>
      <c r="AB15" s="12">
        <v>0.3</v>
      </c>
      <c r="AC15" s="12">
        <f t="shared" si="5"/>
        <v>11029.148549999998</v>
      </c>
      <c r="AD15" s="12" t="s">
        <v>898</v>
      </c>
      <c r="AE15" s="12"/>
    </row>
    <row r="16" spans="1:31" s="46" customFormat="1" ht="21">
      <c r="A16" s="42" t="s">
        <v>0</v>
      </c>
      <c r="B16" s="42"/>
      <c r="C16" s="45"/>
      <c r="D16" s="45"/>
      <c r="E16" s="31"/>
      <c r="F16" s="47"/>
      <c r="G16" s="42"/>
      <c r="H16" s="42"/>
      <c r="I16" s="44"/>
      <c r="J16" s="44">
        <f>+I16+(H16*100)+(G16*400)</f>
        <v>0</v>
      </c>
      <c r="K16" s="42"/>
      <c r="L16" s="42">
        <f>+K16*J16</f>
        <v>0</v>
      </c>
      <c r="M16" s="42">
        <v>2</v>
      </c>
      <c r="N16" s="42" t="s">
        <v>64</v>
      </c>
      <c r="O16" s="101" t="s">
        <v>446</v>
      </c>
      <c r="P16" s="45">
        <v>2</v>
      </c>
      <c r="Q16" s="100">
        <v>80</v>
      </c>
      <c r="R16" s="100">
        <v>5.76</v>
      </c>
      <c r="S16" s="42">
        <v>6550</v>
      </c>
      <c r="T16" s="12">
        <f>+Q16*S16</f>
        <v>524000</v>
      </c>
      <c r="U16" s="45" t="s">
        <v>74</v>
      </c>
      <c r="V16" s="12">
        <f>+T16*0.36</f>
        <v>188640</v>
      </c>
      <c r="W16" s="12">
        <f>+T16-V16</f>
        <v>335360</v>
      </c>
      <c r="X16" s="116"/>
      <c r="Y16" s="117">
        <f>+L15*(R16/100)+W16</f>
        <v>844860.8</v>
      </c>
      <c r="Z16" s="12"/>
      <c r="AA16" s="12">
        <f>+Y16-Z16</f>
        <v>844860.8</v>
      </c>
      <c r="AB16" s="12">
        <v>0.02</v>
      </c>
      <c r="AC16" s="12">
        <f>+AA16*AB16/100</f>
        <v>168.97216</v>
      </c>
      <c r="AD16" s="42"/>
      <c r="AE16" s="12"/>
    </row>
    <row r="17" spans="1:31" s="46" customFormat="1" ht="21">
      <c r="A17" s="42" t="s">
        <v>0</v>
      </c>
      <c r="B17" s="42"/>
      <c r="C17" s="45"/>
      <c r="D17" s="45"/>
      <c r="E17" s="10"/>
      <c r="F17" s="47"/>
      <c r="G17" s="42"/>
      <c r="H17" s="42"/>
      <c r="I17" s="44"/>
      <c r="J17" s="44">
        <f t="shared" si="0"/>
        <v>0</v>
      </c>
      <c r="K17" s="42"/>
      <c r="L17" s="42">
        <f t="shared" si="1"/>
        <v>0</v>
      </c>
      <c r="M17" s="42">
        <v>3</v>
      </c>
      <c r="N17" s="42" t="s">
        <v>64</v>
      </c>
      <c r="O17" s="101" t="s">
        <v>446</v>
      </c>
      <c r="P17" s="45">
        <v>2</v>
      </c>
      <c r="Q17" s="100">
        <f>570+390</f>
        <v>960</v>
      </c>
      <c r="R17" s="100">
        <v>69.17</v>
      </c>
      <c r="S17" s="42">
        <v>6550</v>
      </c>
      <c r="T17" s="12">
        <f>+Q17*S17</f>
        <v>6288000</v>
      </c>
      <c r="U17" s="45" t="s">
        <v>74</v>
      </c>
      <c r="V17" s="12">
        <f>+T17*0.36</f>
        <v>2263680</v>
      </c>
      <c r="W17" s="12">
        <f t="shared" si="3"/>
        <v>4024320</v>
      </c>
      <c r="X17" s="116"/>
      <c r="Y17" s="117">
        <f>+L15*(R17/100)+W17</f>
        <v>10142752.35</v>
      </c>
      <c r="Z17" s="12">
        <f>+Y17</f>
        <v>10142752.35</v>
      </c>
      <c r="AA17" s="12">
        <f t="shared" si="4"/>
        <v>0</v>
      </c>
      <c r="AB17" s="12"/>
      <c r="AC17" s="12">
        <f t="shared" si="5"/>
        <v>0</v>
      </c>
      <c r="AD17" s="42" t="s">
        <v>906</v>
      </c>
      <c r="AE17" s="12"/>
    </row>
    <row r="18" spans="1:31" s="46" customFormat="1" ht="21">
      <c r="A18" s="42" t="s">
        <v>0</v>
      </c>
      <c r="B18" s="42" t="s">
        <v>1</v>
      </c>
      <c r="C18" s="45">
        <v>99</v>
      </c>
      <c r="D18" s="45" t="s">
        <v>75</v>
      </c>
      <c r="E18" s="10" t="s">
        <v>909</v>
      </c>
      <c r="F18" s="47" t="s">
        <v>167</v>
      </c>
      <c r="G18" s="42">
        <v>2</v>
      </c>
      <c r="H18" s="42">
        <v>1</v>
      </c>
      <c r="I18" s="44">
        <v>32.8</v>
      </c>
      <c r="J18" s="44">
        <f t="shared" si="0"/>
        <v>932.8</v>
      </c>
      <c r="K18" s="42">
        <v>10000</v>
      </c>
      <c r="L18" s="42">
        <f t="shared" si="1"/>
        <v>9328000</v>
      </c>
      <c r="M18" s="42">
        <v>1</v>
      </c>
      <c r="N18" s="42" t="s">
        <v>79</v>
      </c>
      <c r="O18" s="101" t="s">
        <v>446</v>
      </c>
      <c r="P18" s="45">
        <v>3</v>
      </c>
      <c r="Q18" s="106">
        <v>144</v>
      </c>
      <c r="R18" s="100">
        <v>8.33</v>
      </c>
      <c r="S18" s="42">
        <v>3500</v>
      </c>
      <c r="T18" s="12">
        <f t="shared" si="2"/>
        <v>504000</v>
      </c>
      <c r="U18" s="45" t="s">
        <v>76</v>
      </c>
      <c r="V18" s="12">
        <f>+T18*0.14</f>
        <v>70560</v>
      </c>
      <c r="W18" s="12">
        <f t="shared" si="3"/>
        <v>433440</v>
      </c>
      <c r="X18" s="116"/>
      <c r="Y18" s="117">
        <f>+L18*(R18/100)+W18</f>
        <v>1210462.4</v>
      </c>
      <c r="Z18" s="12"/>
      <c r="AA18" s="12">
        <f t="shared" si="4"/>
        <v>1210462.4</v>
      </c>
      <c r="AB18" s="12">
        <v>0.3</v>
      </c>
      <c r="AC18" s="12">
        <f t="shared" si="5"/>
        <v>3631.3871999999997</v>
      </c>
      <c r="AD18" s="42"/>
      <c r="AE18" s="12"/>
    </row>
    <row r="19" spans="1:31" s="46" customFormat="1" ht="21">
      <c r="A19" s="42" t="s">
        <v>0</v>
      </c>
      <c r="B19" s="42"/>
      <c r="C19" s="45"/>
      <c r="D19" s="45"/>
      <c r="E19" s="31"/>
      <c r="F19" s="47"/>
      <c r="G19" s="42"/>
      <c r="H19" s="42"/>
      <c r="I19" s="44"/>
      <c r="J19" s="44">
        <f>+I19+(H19*100)+(G19*400)</f>
        <v>0</v>
      </c>
      <c r="K19" s="42"/>
      <c r="L19" s="42">
        <f>+K19*J19</f>
        <v>0</v>
      </c>
      <c r="M19" s="42">
        <v>2</v>
      </c>
      <c r="N19" s="42" t="s">
        <v>900</v>
      </c>
      <c r="O19" s="101" t="s">
        <v>446</v>
      </c>
      <c r="P19" s="45">
        <v>2</v>
      </c>
      <c r="Q19" s="106">
        <v>240</v>
      </c>
      <c r="R19" s="100">
        <v>13.88</v>
      </c>
      <c r="S19" s="42">
        <v>6650</v>
      </c>
      <c r="T19" s="12">
        <f>+Q19*S19</f>
        <v>1596000</v>
      </c>
      <c r="U19" s="45" t="s">
        <v>76</v>
      </c>
      <c r="V19" s="12">
        <f>+T19*0.14</f>
        <v>223440.00000000003</v>
      </c>
      <c r="W19" s="12">
        <f>+T19-V19</f>
        <v>1372560</v>
      </c>
      <c r="X19" s="116"/>
      <c r="Y19" s="117">
        <f>+L18*(R19/100)+W19</f>
        <v>2667286.4000000004</v>
      </c>
      <c r="Z19" s="12"/>
      <c r="AA19" s="12">
        <f>+Y19-Z19</f>
        <v>2667286.4000000004</v>
      </c>
      <c r="AB19" s="12">
        <v>0.02</v>
      </c>
      <c r="AC19" s="12">
        <f>+AA19*AB19/100</f>
        <v>533.4572800000001</v>
      </c>
      <c r="AD19" s="42"/>
      <c r="AE19" s="12"/>
    </row>
    <row r="20" spans="1:31" s="46" customFormat="1" ht="21">
      <c r="A20" s="42" t="s">
        <v>0</v>
      </c>
      <c r="B20" s="42"/>
      <c r="C20" s="45"/>
      <c r="D20" s="45"/>
      <c r="E20" s="31"/>
      <c r="F20" s="47"/>
      <c r="G20" s="42"/>
      <c r="H20" s="42"/>
      <c r="I20" s="44"/>
      <c r="J20" s="44">
        <f>+I20+(H20*100)+(G20*400)</f>
        <v>0</v>
      </c>
      <c r="K20" s="42"/>
      <c r="L20" s="42">
        <f>+K20*J20</f>
        <v>0</v>
      </c>
      <c r="M20" s="42">
        <v>3</v>
      </c>
      <c r="N20" s="42" t="s">
        <v>117</v>
      </c>
      <c r="O20" s="104" t="s">
        <v>446</v>
      </c>
      <c r="P20" s="45">
        <v>3</v>
      </c>
      <c r="Q20" s="122">
        <v>432</v>
      </c>
      <c r="R20" s="100">
        <v>25</v>
      </c>
      <c r="S20" s="42">
        <v>2500</v>
      </c>
      <c r="T20" s="12">
        <f>+Q20*S20</f>
        <v>1080000</v>
      </c>
      <c r="U20" s="45" t="s">
        <v>76</v>
      </c>
      <c r="V20" s="12">
        <f>+T20*0.14</f>
        <v>151200</v>
      </c>
      <c r="W20" s="12">
        <f>+T20-V20</f>
        <v>928800</v>
      </c>
      <c r="X20" s="116"/>
      <c r="Y20" s="117">
        <f>+L18*(R20/100)+W20</f>
        <v>3260800</v>
      </c>
      <c r="Z20" s="12"/>
      <c r="AA20" s="12">
        <f>+Y20-Z20</f>
        <v>3260800</v>
      </c>
      <c r="AB20" s="12">
        <v>0.3</v>
      </c>
      <c r="AC20" s="12">
        <f>+AA20*AB20/100</f>
        <v>9782.4</v>
      </c>
      <c r="AD20" s="42"/>
      <c r="AE20" s="12"/>
    </row>
    <row r="21" spans="1:31" s="46" customFormat="1" ht="21">
      <c r="A21" s="42" t="s">
        <v>0</v>
      </c>
      <c r="B21" s="42"/>
      <c r="C21" s="45"/>
      <c r="D21" s="45"/>
      <c r="E21" s="31"/>
      <c r="F21" s="47"/>
      <c r="G21" s="42"/>
      <c r="H21" s="42"/>
      <c r="I21" s="44"/>
      <c r="J21" s="44">
        <f t="shared" si="0"/>
        <v>0</v>
      </c>
      <c r="K21" s="42"/>
      <c r="L21" s="42">
        <f t="shared" si="1"/>
        <v>0</v>
      </c>
      <c r="M21" s="42">
        <v>4</v>
      </c>
      <c r="N21" s="42" t="s">
        <v>1775</v>
      </c>
      <c r="O21" s="101" t="s">
        <v>446</v>
      </c>
      <c r="P21" s="45">
        <v>2</v>
      </c>
      <c r="Q21" s="106">
        <v>240</v>
      </c>
      <c r="R21" s="100">
        <v>13.88</v>
      </c>
      <c r="S21" s="42">
        <v>6650</v>
      </c>
      <c r="T21" s="12">
        <f t="shared" si="2"/>
        <v>1596000</v>
      </c>
      <c r="U21" s="45" t="s">
        <v>76</v>
      </c>
      <c r="V21" s="12">
        <f>+T21*0.14</f>
        <v>223440.00000000003</v>
      </c>
      <c r="W21" s="12">
        <f t="shared" si="3"/>
        <v>1372560</v>
      </c>
      <c r="X21" s="116"/>
      <c r="Y21" s="117">
        <f>+L18*(R21/100)+W21</f>
        <v>2667286.4000000004</v>
      </c>
      <c r="Z21" s="12"/>
      <c r="AA21" s="12">
        <f t="shared" si="4"/>
        <v>2667286.4000000004</v>
      </c>
      <c r="AB21" s="12">
        <v>0.02</v>
      </c>
      <c r="AC21" s="12">
        <f t="shared" si="5"/>
        <v>533.4572800000001</v>
      </c>
      <c r="AD21" s="42"/>
      <c r="AE21" s="12"/>
    </row>
    <row r="22" spans="1:31" s="46" customFormat="1" ht="21">
      <c r="A22" s="42" t="s">
        <v>0</v>
      </c>
      <c r="B22" s="42"/>
      <c r="C22" s="45"/>
      <c r="D22" s="45"/>
      <c r="E22" s="31"/>
      <c r="F22" s="47"/>
      <c r="G22" s="42"/>
      <c r="H22" s="42"/>
      <c r="I22" s="44"/>
      <c r="J22" s="44">
        <f t="shared" si="0"/>
        <v>0</v>
      </c>
      <c r="K22" s="42"/>
      <c r="L22" s="42">
        <f t="shared" si="1"/>
        <v>0</v>
      </c>
      <c r="M22" s="42">
        <v>5</v>
      </c>
      <c r="N22" s="42" t="s">
        <v>897</v>
      </c>
      <c r="O22" s="101" t="s">
        <v>446</v>
      </c>
      <c r="P22" s="45">
        <v>2</v>
      </c>
      <c r="Q22" s="106">
        <f>48*14</f>
        <v>672</v>
      </c>
      <c r="R22" s="100">
        <v>38.91</v>
      </c>
      <c r="S22" s="42">
        <v>6650</v>
      </c>
      <c r="T22" s="12">
        <f t="shared" si="2"/>
        <v>4468800</v>
      </c>
      <c r="U22" s="45" t="s">
        <v>76</v>
      </c>
      <c r="V22" s="12">
        <f>+T22*0.14</f>
        <v>625632.0000000001</v>
      </c>
      <c r="W22" s="12">
        <f t="shared" si="3"/>
        <v>3843168</v>
      </c>
      <c r="X22" s="116"/>
      <c r="Y22" s="117">
        <f>+L18*(R22/100)+W22</f>
        <v>7472692.799999999</v>
      </c>
      <c r="Z22" s="12"/>
      <c r="AA22" s="12">
        <f t="shared" si="4"/>
        <v>7472692.799999999</v>
      </c>
      <c r="AB22" s="12">
        <v>0.02</v>
      </c>
      <c r="AC22" s="12">
        <f t="shared" si="5"/>
        <v>1494.5385599999997</v>
      </c>
      <c r="AD22" s="42"/>
      <c r="AE22" s="12"/>
    </row>
    <row r="23" spans="1:31" s="46" customFormat="1" ht="21">
      <c r="A23" s="42" t="s">
        <v>0</v>
      </c>
      <c r="B23" s="42" t="s">
        <v>1</v>
      </c>
      <c r="C23" s="45" t="s">
        <v>1281</v>
      </c>
      <c r="D23" s="51" t="s">
        <v>77</v>
      </c>
      <c r="E23" s="10" t="s">
        <v>909</v>
      </c>
      <c r="F23" s="47" t="s">
        <v>167</v>
      </c>
      <c r="G23" s="42">
        <v>1</v>
      </c>
      <c r="H23" s="42">
        <v>1</v>
      </c>
      <c r="I23" s="44">
        <v>27.9</v>
      </c>
      <c r="J23" s="44">
        <f t="shared" si="0"/>
        <v>527.9</v>
      </c>
      <c r="K23" s="42">
        <v>10000</v>
      </c>
      <c r="L23" s="42">
        <f t="shared" si="1"/>
        <v>5279000</v>
      </c>
      <c r="M23" s="42">
        <v>1</v>
      </c>
      <c r="N23" s="42" t="s">
        <v>64</v>
      </c>
      <c r="O23" s="101" t="s">
        <v>446</v>
      </c>
      <c r="P23" s="45">
        <v>2</v>
      </c>
      <c r="Q23" s="100">
        <v>120</v>
      </c>
      <c r="R23" s="100">
        <v>15.79</v>
      </c>
      <c r="S23" s="42">
        <v>6550</v>
      </c>
      <c r="T23" s="12">
        <f t="shared" si="2"/>
        <v>786000</v>
      </c>
      <c r="U23" s="45" t="s">
        <v>78</v>
      </c>
      <c r="V23" s="12">
        <f>+T23*0.24</f>
        <v>188640</v>
      </c>
      <c r="W23" s="12">
        <f t="shared" si="3"/>
        <v>597360</v>
      </c>
      <c r="X23" s="116"/>
      <c r="Y23" s="117">
        <f>+L23*(R23/100)+W23</f>
        <v>1430914.1</v>
      </c>
      <c r="Z23" s="12"/>
      <c r="AA23" s="12">
        <f t="shared" si="4"/>
        <v>1430914.1</v>
      </c>
      <c r="AB23" s="12">
        <v>0.02</v>
      </c>
      <c r="AC23" s="12">
        <f t="shared" si="5"/>
        <v>286.18282000000005</v>
      </c>
      <c r="AD23" s="42"/>
      <c r="AE23" s="12"/>
    </row>
    <row r="24" spans="1:31" s="46" customFormat="1" ht="21">
      <c r="A24" s="42" t="s">
        <v>0</v>
      </c>
      <c r="B24" s="42"/>
      <c r="C24" s="45"/>
      <c r="D24" s="45"/>
      <c r="E24" s="31"/>
      <c r="F24" s="47"/>
      <c r="G24" s="42"/>
      <c r="H24" s="42"/>
      <c r="I24" s="44"/>
      <c r="J24" s="44">
        <f t="shared" si="0"/>
        <v>0</v>
      </c>
      <c r="K24" s="42"/>
      <c r="L24" s="42">
        <f t="shared" si="1"/>
        <v>0</v>
      </c>
      <c r="M24" s="42">
        <v>2</v>
      </c>
      <c r="N24" s="42" t="s">
        <v>60</v>
      </c>
      <c r="O24" s="101" t="s">
        <v>446</v>
      </c>
      <c r="P24" s="45">
        <v>3</v>
      </c>
      <c r="Q24" s="100">
        <v>640</v>
      </c>
      <c r="R24" s="100">
        <v>84.21</v>
      </c>
      <c r="S24" s="42">
        <v>7550</v>
      </c>
      <c r="T24" s="12">
        <f t="shared" si="2"/>
        <v>4832000</v>
      </c>
      <c r="U24" s="45" t="s">
        <v>78</v>
      </c>
      <c r="V24" s="12">
        <f>+T24*0.24</f>
        <v>1159680</v>
      </c>
      <c r="W24" s="12">
        <f t="shared" si="3"/>
        <v>3672320</v>
      </c>
      <c r="X24" s="116"/>
      <c r="Y24" s="117">
        <f>+L23*(R24/100)+W24</f>
        <v>8117765.899999999</v>
      </c>
      <c r="Z24" s="12"/>
      <c r="AA24" s="12">
        <f t="shared" si="4"/>
        <v>8117765.899999999</v>
      </c>
      <c r="AB24" s="12">
        <v>0.3</v>
      </c>
      <c r="AC24" s="12">
        <f t="shared" si="5"/>
        <v>24353.297699999996</v>
      </c>
      <c r="AD24" s="12" t="s">
        <v>899</v>
      </c>
      <c r="AE24" s="12"/>
    </row>
    <row r="25" spans="1:31" s="46" customFormat="1" ht="21">
      <c r="A25" s="42"/>
      <c r="B25" s="42"/>
      <c r="C25" s="45"/>
      <c r="D25" s="31"/>
      <c r="E25" s="31"/>
      <c r="F25" s="47"/>
      <c r="G25" s="42"/>
      <c r="H25" s="42"/>
      <c r="I25" s="44"/>
      <c r="J25" s="44">
        <f>+I25+(H25*100)+(G25*400)</f>
        <v>0</v>
      </c>
      <c r="K25" s="42"/>
      <c r="L25" s="42">
        <f>+K25*J25</f>
        <v>0</v>
      </c>
      <c r="M25" s="42"/>
      <c r="N25" s="42"/>
      <c r="O25" s="101"/>
      <c r="P25" s="45"/>
      <c r="Q25" s="42"/>
      <c r="R25" s="42"/>
      <c r="S25" s="42"/>
      <c r="T25" s="12">
        <f>+Q25*S25</f>
        <v>0</v>
      </c>
      <c r="U25" s="45"/>
      <c r="V25" s="12">
        <f>+T25*0</f>
        <v>0</v>
      </c>
      <c r="W25" s="12">
        <f>+T25-V25</f>
        <v>0</v>
      </c>
      <c r="X25" s="12"/>
      <c r="Y25" s="12">
        <f aca="true" t="shared" si="6" ref="Y25:Y55">+L25+W25</f>
        <v>0</v>
      </c>
      <c r="Z25" s="12"/>
      <c r="AA25" s="12">
        <f>+Y25-Z25</f>
        <v>0</v>
      </c>
      <c r="AB25" s="12"/>
      <c r="AC25" s="12">
        <f>+AA25*AB25/100</f>
        <v>0</v>
      </c>
      <c r="AD25" s="42"/>
      <c r="AE25" s="12"/>
    </row>
    <row r="26" spans="1:31" s="46" customFormat="1" ht="21">
      <c r="A26" s="42"/>
      <c r="B26" s="42"/>
      <c r="C26" s="45"/>
      <c r="D26" s="31"/>
      <c r="E26" s="31"/>
      <c r="F26" s="47"/>
      <c r="G26" s="42"/>
      <c r="H26" s="42"/>
      <c r="I26" s="44"/>
      <c r="J26" s="44">
        <f t="shared" si="0"/>
        <v>0</v>
      </c>
      <c r="K26" s="42"/>
      <c r="L26" s="42">
        <f t="shared" si="1"/>
        <v>0</v>
      </c>
      <c r="M26" s="42"/>
      <c r="N26" s="42"/>
      <c r="O26" s="101"/>
      <c r="P26" s="45"/>
      <c r="Q26" s="42"/>
      <c r="R26" s="42"/>
      <c r="S26" s="42"/>
      <c r="T26" s="12">
        <f t="shared" si="2"/>
        <v>0</v>
      </c>
      <c r="U26" s="45"/>
      <c r="V26" s="12">
        <f>+T26*0</f>
        <v>0</v>
      </c>
      <c r="W26" s="12">
        <f t="shared" si="3"/>
        <v>0</v>
      </c>
      <c r="X26" s="12"/>
      <c r="Y26" s="12">
        <f t="shared" si="6"/>
        <v>0</v>
      </c>
      <c r="Z26" s="12"/>
      <c r="AA26" s="12">
        <f t="shared" si="4"/>
        <v>0</v>
      </c>
      <c r="AB26" s="12"/>
      <c r="AC26" s="12">
        <f t="shared" si="5"/>
        <v>0</v>
      </c>
      <c r="AD26" s="42"/>
      <c r="AE26" s="12"/>
    </row>
    <row r="27" spans="1:31" s="46" customFormat="1" ht="21">
      <c r="A27" s="42" t="s">
        <v>0</v>
      </c>
      <c r="B27" s="42" t="s">
        <v>1</v>
      </c>
      <c r="C27" s="45" t="s">
        <v>1282</v>
      </c>
      <c r="D27" s="45" t="s">
        <v>80</v>
      </c>
      <c r="E27" s="29" t="s">
        <v>907</v>
      </c>
      <c r="F27" s="47">
        <v>2</v>
      </c>
      <c r="G27" s="42"/>
      <c r="H27" s="42"/>
      <c r="I27" s="44">
        <v>16</v>
      </c>
      <c r="J27" s="44">
        <f aca="true" t="shared" si="7" ref="J27:J59">+I27+(H27*100)+(G27*400)</f>
        <v>16</v>
      </c>
      <c r="K27" s="42">
        <v>25000</v>
      </c>
      <c r="L27" s="42">
        <f t="shared" si="1"/>
        <v>400000</v>
      </c>
      <c r="M27" s="42"/>
      <c r="N27" s="42" t="s">
        <v>60</v>
      </c>
      <c r="O27" s="101" t="s">
        <v>446</v>
      </c>
      <c r="P27" s="45">
        <v>2</v>
      </c>
      <c r="Q27" s="100">
        <v>120</v>
      </c>
      <c r="R27" s="100"/>
      <c r="S27" s="42">
        <v>7550</v>
      </c>
      <c r="T27" s="12">
        <f aca="true" t="shared" si="8" ref="T27:T59">+Q27*S27</f>
        <v>906000</v>
      </c>
      <c r="U27" s="102" t="s">
        <v>94</v>
      </c>
      <c r="V27" s="12">
        <f>+T27*0.46</f>
        <v>416760</v>
      </c>
      <c r="W27" s="12">
        <f aca="true" t="shared" si="9" ref="W27:W59">+T27-V27</f>
        <v>489240</v>
      </c>
      <c r="X27" s="116"/>
      <c r="Y27" s="117">
        <f t="shared" si="6"/>
        <v>889240</v>
      </c>
      <c r="Z27" s="12">
        <f>+Y27</f>
        <v>889240</v>
      </c>
      <c r="AA27" s="12">
        <f aca="true" t="shared" si="10" ref="AA27:AA59">+Y27-Z27</f>
        <v>0</v>
      </c>
      <c r="AB27" s="12"/>
      <c r="AC27" s="12">
        <f aca="true" t="shared" si="11" ref="AC27:AC59">+AA27*AB27/100</f>
        <v>0</v>
      </c>
      <c r="AD27" s="42" t="s">
        <v>906</v>
      </c>
      <c r="AE27" s="12"/>
    </row>
    <row r="28" spans="1:31" s="46" customFormat="1" ht="21">
      <c r="A28" s="42"/>
      <c r="B28" s="42"/>
      <c r="C28" s="45"/>
      <c r="D28" s="31"/>
      <c r="E28" s="31"/>
      <c r="F28" s="47"/>
      <c r="G28" s="42"/>
      <c r="H28" s="42"/>
      <c r="I28" s="44"/>
      <c r="J28" s="44">
        <f t="shared" si="7"/>
        <v>0</v>
      </c>
      <c r="K28" s="42"/>
      <c r="L28" s="42">
        <f t="shared" si="1"/>
        <v>0</v>
      </c>
      <c r="M28" s="42"/>
      <c r="N28" s="42"/>
      <c r="O28" s="101"/>
      <c r="P28" s="45"/>
      <c r="Q28" s="42"/>
      <c r="R28" s="42"/>
      <c r="S28" s="42"/>
      <c r="T28" s="12">
        <f t="shared" si="8"/>
        <v>0</v>
      </c>
      <c r="U28" s="45"/>
      <c r="V28" s="12">
        <f aca="true" t="shared" si="12" ref="V28:V33">+T28*0</f>
        <v>0</v>
      </c>
      <c r="W28" s="12">
        <f t="shared" si="9"/>
        <v>0</v>
      </c>
      <c r="X28" s="12"/>
      <c r="Y28" s="12">
        <f t="shared" si="6"/>
        <v>0</v>
      </c>
      <c r="Z28" s="12"/>
      <c r="AA28" s="12">
        <f t="shared" si="10"/>
        <v>0</v>
      </c>
      <c r="AB28" s="12"/>
      <c r="AC28" s="12">
        <f t="shared" si="11"/>
        <v>0</v>
      </c>
      <c r="AD28" s="42"/>
      <c r="AE28" s="12"/>
    </row>
    <row r="29" spans="1:31" s="46" customFormat="1" ht="27.75" customHeight="1">
      <c r="A29" s="42"/>
      <c r="B29" s="42"/>
      <c r="C29" s="45"/>
      <c r="D29" s="31"/>
      <c r="E29" s="31"/>
      <c r="F29" s="47"/>
      <c r="G29" s="42"/>
      <c r="H29" s="42"/>
      <c r="I29" s="44"/>
      <c r="J29" s="44">
        <f t="shared" si="7"/>
        <v>0</v>
      </c>
      <c r="K29" s="42"/>
      <c r="L29" s="42">
        <f>+K29*J29</f>
        <v>0</v>
      </c>
      <c r="M29" s="42"/>
      <c r="N29" s="42"/>
      <c r="O29" s="101"/>
      <c r="P29" s="45"/>
      <c r="Q29" s="42"/>
      <c r="R29" s="42"/>
      <c r="S29" s="42"/>
      <c r="T29" s="12">
        <f t="shared" si="8"/>
        <v>0</v>
      </c>
      <c r="U29" s="45"/>
      <c r="V29" s="12">
        <f t="shared" si="12"/>
        <v>0</v>
      </c>
      <c r="W29" s="12">
        <f t="shared" si="9"/>
        <v>0</v>
      </c>
      <c r="X29" s="12"/>
      <c r="Y29" s="12">
        <f t="shared" si="6"/>
        <v>0</v>
      </c>
      <c r="Z29" s="12"/>
      <c r="AA29" s="12">
        <f t="shared" si="10"/>
        <v>0</v>
      </c>
      <c r="AB29" s="12"/>
      <c r="AC29" s="12">
        <f t="shared" si="11"/>
        <v>0</v>
      </c>
      <c r="AD29" s="42"/>
      <c r="AE29" s="12"/>
    </row>
    <row r="30" spans="1:31" s="46" customFormat="1" ht="27.75" customHeight="1">
      <c r="A30" s="42"/>
      <c r="B30" s="42"/>
      <c r="C30" s="45"/>
      <c r="D30" s="31"/>
      <c r="E30" s="31"/>
      <c r="F30" s="47"/>
      <c r="G30" s="42"/>
      <c r="H30" s="42"/>
      <c r="I30" s="44"/>
      <c r="J30" s="44">
        <f t="shared" si="7"/>
        <v>0</v>
      </c>
      <c r="K30" s="42"/>
      <c r="L30" s="42">
        <f t="shared" si="1"/>
        <v>0</v>
      </c>
      <c r="M30" s="42"/>
      <c r="N30" s="42"/>
      <c r="O30" s="101"/>
      <c r="P30" s="45"/>
      <c r="Q30" s="42"/>
      <c r="R30" s="42"/>
      <c r="S30" s="42"/>
      <c r="T30" s="12">
        <f t="shared" si="8"/>
        <v>0</v>
      </c>
      <c r="U30" s="45"/>
      <c r="V30" s="12">
        <f t="shared" si="12"/>
        <v>0</v>
      </c>
      <c r="W30" s="12">
        <f t="shared" si="9"/>
        <v>0</v>
      </c>
      <c r="X30" s="12"/>
      <c r="Y30" s="12">
        <f t="shared" si="6"/>
        <v>0</v>
      </c>
      <c r="Z30" s="12"/>
      <c r="AA30" s="12">
        <f t="shared" si="10"/>
        <v>0</v>
      </c>
      <c r="AB30" s="12"/>
      <c r="AC30" s="12">
        <f t="shared" si="11"/>
        <v>0</v>
      </c>
      <c r="AD30" s="42"/>
      <c r="AE30" s="12"/>
    </row>
    <row r="31" spans="1:31" s="46" customFormat="1" ht="21">
      <c r="A31" s="42" t="s">
        <v>0</v>
      </c>
      <c r="B31" s="42" t="s">
        <v>1</v>
      </c>
      <c r="C31" s="45" t="s">
        <v>1283</v>
      </c>
      <c r="D31" s="51" t="s">
        <v>110</v>
      </c>
      <c r="E31" s="29" t="s">
        <v>907</v>
      </c>
      <c r="F31" s="47">
        <v>4</v>
      </c>
      <c r="G31" s="42"/>
      <c r="H31" s="42"/>
      <c r="I31" s="44">
        <v>54.2</v>
      </c>
      <c r="J31" s="44">
        <f t="shared" si="7"/>
        <v>54.2</v>
      </c>
      <c r="K31" s="42">
        <v>12000</v>
      </c>
      <c r="L31" s="42">
        <f aca="true" t="shared" si="13" ref="L31:L37">+K31*J31</f>
        <v>650400</v>
      </c>
      <c r="M31" s="42"/>
      <c r="N31" s="42"/>
      <c r="O31" s="101"/>
      <c r="P31" s="45"/>
      <c r="Q31" s="42"/>
      <c r="R31" s="100"/>
      <c r="S31" s="42"/>
      <c r="T31" s="12">
        <f t="shared" si="8"/>
        <v>0</v>
      </c>
      <c r="U31" s="45"/>
      <c r="V31" s="12">
        <f t="shared" si="12"/>
        <v>0</v>
      </c>
      <c r="W31" s="12">
        <f t="shared" si="9"/>
        <v>0</v>
      </c>
      <c r="X31" s="116"/>
      <c r="Y31" s="117">
        <f t="shared" si="6"/>
        <v>650400</v>
      </c>
      <c r="Z31" s="12"/>
      <c r="AA31" s="12">
        <f t="shared" si="10"/>
        <v>650400</v>
      </c>
      <c r="AB31" s="12">
        <v>0.3</v>
      </c>
      <c r="AC31" s="12">
        <f t="shared" si="11"/>
        <v>1951.2</v>
      </c>
      <c r="AD31" s="42"/>
      <c r="AE31" s="12"/>
    </row>
    <row r="32" spans="1:31" s="46" customFormat="1" ht="21">
      <c r="A32" s="42"/>
      <c r="B32" s="42"/>
      <c r="C32" s="45"/>
      <c r="D32" s="31"/>
      <c r="E32" s="31"/>
      <c r="F32" s="47"/>
      <c r="G32" s="42"/>
      <c r="H32" s="42"/>
      <c r="I32" s="44"/>
      <c r="J32" s="44">
        <f t="shared" si="7"/>
        <v>0</v>
      </c>
      <c r="K32" s="42"/>
      <c r="L32" s="42">
        <f t="shared" si="13"/>
        <v>0</v>
      </c>
      <c r="M32" s="42"/>
      <c r="N32" s="42"/>
      <c r="O32" s="101"/>
      <c r="P32" s="45"/>
      <c r="Q32" s="42"/>
      <c r="R32" s="42"/>
      <c r="S32" s="42"/>
      <c r="T32" s="12">
        <f t="shared" si="8"/>
        <v>0</v>
      </c>
      <c r="U32" s="45"/>
      <c r="V32" s="12">
        <f t="shared" si="12"/>
        <v>0</v>
      </c>
      <c r="W32" s="12">
        <f t="shared" si="9"/>
        <v>0</v>
      </c>
      <c r="X32" s="12"/>
      <c r="Y32" s="12">
        <f t="shared" si="6"/>
        <v>0</v>
      </c>
      <c r="Z32" s="12"/>
      <c r="AA32" s="12">
        <f t="shared" si="10"/>
        <v>0</v>
      </c>
      <c r="AB32" s="12"/>
      <c r="AC32" s="12">
        <f t="shared" si="11"/>
        <v>0</v>
      </c>
      <c r="AD32" s="42"/>
      <c r="AE32" s="12"/>
    </row>
    <row r="33" spans="1:31" s="46" customFormat="1" ht="21">
      <c r="A33" s="42"/>
      <c r="B33" s="42"/>
      <c r="C33" s="45"/>
      <c r="D33" s="31"/>
      <c r="E33" s="31"/>
      <c r="F33" s="47"/>
      <c r="G33" s="42"/>
      <c r="H33" s="42"/>
      <c r="I33" s="44"/>
      <c r="J33" s="44">
        <f t="shared" si="7"/>
        <v>0</v>
      </c>
      <c r="K33" s="42"/>
      <c r="L33" s="42">
        <f t="shared" si="13"/>
        <v>0</v>
      </c>
      <c r="M33" s="42"/>
      <c r="N33" s="42"/>
      <c r="O33" s="101"/>
      <c r="P33" s="45"/>
      <c r="Q33" s="42"/>
      <c r="R33" s="42"/>
      <c r="S33" s="42"/>
      <c r="T33" s="12">
        <f t="shared" si="8"/>
        <v>0</v>
      </c>
      <c r="U33" s="45"/>
      <c r="V33" s="12">
        <f t="shared" si="12"/>
        <v>0</v>
      </c>
      <c r="W33" s="12">
        <f t="shared" si="9"/>
        <v>0</v>
      </c>
      <c r="X33" s="12"/>
      <c r="Y33" s="12">
        <f t="shared" si="6"/>
        <v>0</v>
      </c>
      <c r="Z33" s="12"/>
      <c r="AA33" s="12">
        <f t="shared" si="10"/>
        <v>0</v>
      </c>
      <c r="AB33" s="12"/>
      <c r="AC33" s="12">
        <f t="shared" si="11"/>
        <v>0</v>
      </c>
      <c r="AD33" s="42"/>
      <c r="AE33" s="12"/>
    </row>
    <row r="34" spans="1:31" s="46" customFormat="1" ht="21">
      <c r="A34" s="42" t="s">
        <v>0</v>
      </c>
      <c r="B34" s="42" t="s">
        <v>1</v>
      </c>
      <c r="C34" s="45" t="s">
        <v>1284</v>
      </c>
      <c r="D34" s="45" t="s">
        <v>111</v>
      </c>
      <c r="E34" s="29" t="s">
        <v>907</v>
      </c>
      <c r="F34" s="47">
        <v>2</v>
      </c>
      <c r="G34" s="42"/>
      <c r="H34" s="42">
        <v>1</v>
      </c>
      <c r="I34" s="44">
        <v>18.5</v>
      </c>
      <c r="J34" s="44">
        <f t="shared" si="7"/>
        <v>118.5</v>
      </c>
      <c r="K34" s="42">
        <v>20000</v>
      </c>
      <c r="L34" s="42">
        <f t="shared" si="13"/>
        <v>2370000</v>
      </c>
      <c r="M34" s="42"/>
      <c r="N34" s="42" t="s">
        <v>64</v>
      </c>
      <c r="O34" s="101" t="s">
        <v>446</v>
      </c>
      <c r="P34" s="45">
        <v>2</v>
      </c>
      <c r="Q34" s="100">
        <v>84</v>
      </c>
      <c r="R34" s="100"/>
      <c r="S34" s="42">
        <v>6550</v>
      </c>
      <c r="T34" s="12">
        <f t="shared" si="8"/>
        <v>550200</v>
      </c>
      <c r="U34" s="102" t="s">
        <v>85</v>
      </c>
      <c r="V34" s="12">
        <f>+T34*0.22</f>
        <v>121044</v>
      </c>
      <c r="W34" s="12">
        <f t="shared" si="9"/>
        <v>429156</v>
      </c>
      <c r="X34" s="116"/>
      <c r="Y34" s="117">
        <f t="shared" si="6"/>
        <v>2799156</v>
      </c>
      <c r="Z34" s="12"/>
      <c r="AA34" s="12">
        <f t="shared" si="10"/>
        <v>2799156</v>
      </c>
      <c r="AB34" s="12">
        <v>0.02</v>
      </c>
      <c r="AC34" s="12">
        <f t="shared" si="11"/>
        <v>559.8312000000001</v>
      </c>
      <c r="AD34" s="42"/>
      <c r="AE34" s="12"/>
    </row>
    <row r="35" spans="1:31" s="46" customFormat="1" ht="21">
      <c r="A35" s="42" t="s">
        <v>0</v>
      </c>
      <c r="B35" s="42" t="s">
        <v>1</v>
      </c>
      <c r="C35" s="45" t="s">
        <v>1285</v>
      </c>
      <c r="D35" s="51" t="s">
        <v>120</v>
      </c>
      <c r="E35" s="29" t="s">
        <v>907</v>
      </c>
      <c r="F35" s="47">
        <v>2</v>
      </c>
      <c r="G35" s="42"/>
      <c r="H35" s="42"/>
      <c r="I35" s="44">
        <v>41.8</v>
      </c>
      <c r="J35" s="44">
        <f t="shared" si="7"/>
        <v>41.8</v>
      </c>
      <c r="K35" s="42">
        <v>15000</v>
      </c>
      <c r="L35" s="42">
        <f t="shared" si="13"/>
        <v>627000</v>
      </c>
      <c r="M35" s="42"/>
      <c r="N35" s="42" t="s">
        <v>64</v>
      </c>
      <c r="O35" s="101"/>
      <c r="P35" s="45">
        <v>2</v>
      </c>
      <c r="Q35" s="100">
        <v>70</v>
      </c>
      <c r="R35" s="100"/>
      <c r="S35" s="42">
        <v>6550</v>
      </c>
      <c r="T35" s="12">
        <f t="shared" si="8"/>
        <v>458500</v>
      </c>
      <c r="U35" s="102" t="s">
        <v>76</v>
      </c>
      <c r="V35" s="12">
        <f>+T35*0.14</f>
        <v>64190.00000000001</v>
      </c>
      <c r="W35" s="12">
        <f t="shared" si="9"/>
        <v>394310</v>
      </c>
      <c r="X35" s="116"/>
      <c r="Y35" s="117">
        <f t="shared" si="6"/>
        <v>1021310</v>
      </c>
      <c r="Z35" s="12"/>
      <c r="AA35" s="12">
        <f t="shared" si="10"/>
        <v>1021310</v>
      </c>
      <c r="AB35" s="12">
        <v>0.02</v>
      </c>
      <c r="AC35" s="12">
        <f t="shared" si="11"/>
        <v>204.262</v>
      </c>
      <c r="AD35" s="42"/>
      <c r="AE35" s="12"/>
    </row>
    <row r="36" spans="1:31" s="46" customFormat="1" ht="21">
      <c r="A36" s="42"/>
      <c r="B36" s="42"/>
      <c r="C36" s="45"/>
      <c r="D36" s="31"/>
      <c r="E36" s="31"/>
      <c r="F36" s="47"/>
      <c r="G36" s="42"/>
      <c r="H36" s="42"/>
      <c r="I36" s="44"/>
      <c r="J36" s="44">
        <f t="shared" si="7"/>
        <v>0</v>
      </c>
      <c r="K36" s="42"/>
      <c r="L36" s="42">
        <f t="shared" si="13"/>
        <v>0</v>
      </c>
      <c r="M36" s="42"/>
      <c r="N36" s="42"/>
      <c r="O36" s="101"/>
      <c r="P36" s="45"/>
      <c r="Q36" s="42"/>
      <c r="R36" s="42"/>
      <c r="S36" s="42"/>
      <c r="T36" s="12">
        <f t="shared" si="8"/>
        <v>0</v>
      </c>
      <c r="U36" s="45"/>
      <c r="V36" s="12">
        <f>+T36*0</f>
        <v>0</v>
      </c>
      <c r="W36" s="12">
        <f t="shared" si="9"/>
        <v>0</v>
      </c>
      <c r="X36" s="12"/>
      <c r="Y36" s="12">
        <f t="shared" si="6"/>
        <v>0</v>
      </c>
      <c r="Z36" s="12"/>
      <c r="AA36" s="12">
        <f t="shared" si="10"/>
        <v>0</v>
      </c>
      <c r="AB36" s="12"/>
      <c r="AC36" s="12">
        <f t="shared" si="11"/>
        <v>0</v>
      </c>
      <c r="AD36" s="42"/>
      <c r="AE36" s="12"/>
    </row>
    <row r="37" spans="1:31" s="46" customFormat="1" ht="21">
      <c r="A37" s="42"/>
      <c r="B37" s="42"/>
      <c r="C37" s="45"/>
      <c r="D37" s="31"/>
      <c r="E37" s="31"/>
      <c r="F37" s="47"/>
      <c r="G37" s="42"/>
      <c r="H37" s="42"/>
      <c r="I37" s="44"/>
      <c r="J37" s="44">
        <f t="shared" si="7"/>
        <v>0</v>
      </c>
      <c r="K37" s="42"/>
      <c r="L37" s="42">
        <f t="shared" si="13"/>
        <v>0</v>
      </c>
      <c r="M37" s="42"/>
      <c r="N37" s="42"/>
      <c r="O37" s="101"/>
      <c r="P37" s="45"/>
      <c r="Q37" s="42"/>
      <c r="R37" s="42"/>
      <c r="S37" s="42"/>
      <c r="T37" s="12">
        <f t="shared" si="8"/>
        <v>0</v>
      </c>
      <c r="U37" s="45"/>
      <c r="V37" s="12">
        <f>+T37*0</f>
        <v>0</v>
      </c>
      <c r="W37" s="12">
        <f t="shared" si="9"/>
        <v>0</v>
      </c>
      <c r="X37" s="12"/>
      <c r="Y37" s="12">
        <f t="shared" si="6"/>
        <v>0</v>
      </c>
      <c r="Z37" s="12"/>
      <c r="AA37" s="12">
        <f t="shared" si="10"/>
        <v>0</v>
      </c>
      <c r="AB37" s="12"/>
      <c r="AC37" s="12">
        <f t="shared" si="11"/>
        <v>0</v>
      </c>
      <c r="AD37" s="42"/>
      <c r="AE37" s="12"/>
    </row>
    <row r="38" spans="1:31" s="46" customFormat="1" ht="21">
      <c r="A38" s="42" t="s">
        <v>0</v>
      </c>
      <c r="B38" s="42" t="s">
        <v>1</v>
      </c>
      <c r="C38" s="45" t="s">
        <v>1286</v>
      </c>
      <c r="D38" s="45" t="s">
        <v>121</v>
      </c>
      <c r="E38" s="29" t="s">
        <v>907</v>
      </c>
      <c r="F38" s="47">
        <v>2</v>
      </c>
      <c r="G38" s="42"/>
      <c r="H38" s="42"/>
      <c r="I38" s="44">
        <v>16.5</v>
      </c>
      <c r="J38" s="44">
        <f t="shared" si="7"/>
        <v>16.5</v>
      </c>
      <c r="K38" s="42">
        <v>23500</v>
      </c>
      <c r="L38" s="42">
        <f aca="true" t="shared" si="14" ref="L38:L44">+K38*J38</f>
        <v>387750</v>
      </c>
      <c r="M38" s="42"/>
      <c r="N38" s="42" t="s">
        <v>62</v>
      </c>
      <c r="O38" s="101" t="s">
        <v>446</v>
      </c>
      <c r="P38" s="45">
        <v>2</v>
      </c>
      <c r="Q38" s="100">
        <v>80</v>
      </c>
      <c r="R38" s="100"/>
      <c r="S38" s="42">
        <v>6750</v>
      </c>
      <c r="T38" s="12">
        <f t="shared" si="8"/>
        <v>540000</v>
      </c>
      <c r="U38" s="102" t="s">
        <v>74</v>
      </c>
      <c r="V38" s="12">
        <f>+T38*0.36</f>
        <v>194400</v>
      </c>
      <c r="W38" s="12">
        <f t="shared" si="9"/>
        <v>345600</v>
      </c>
      <c r="X38" s="116"/>
      <c r="Y38" s="117">
        <f t="shared" si="6"/>
        <v>733350</v>
      </c>
      <c r="Z38" s="12"/>
      <c r="AA38" s="12">
        <f t="shared" si="10"/>
        <v>733350</v>
      </c>
      <c r="AB38" s="12">
        <v>0.02</v>
      </c>
      <c r="AC38" s="12">
        <f t="shared" si="11"/>
        <v>146.67</v>
      </c>
      <c r="AD38" s="42"/>
      <c r="AE38" s="12"/>
    </row>
    <row r="39" spans="1:31" s="46" customFormat="1" ht="21">
      <c r="A39" s="42" t="s">
        <v>0</v>
      </c>
      <c r="B39" s="42" t="s">
        <v>1</v>
      </c>
      <c r="C39" s="45" t="s">
        <v>1287</v>
      </c>
      <c r="D39" s="45" t="s">
        <v>122</v>
      </c>
      <c r="E39" s="29" t="s">
        <v>907</v>
      </c>
      <c r="F39" s="47">
        <v>4</v>
      </c>
      <c r="G39" s="42"/>
      <c r="H39" s="42"/>
      <c r="I39" s="44">
        <v>57.3</v>
      </c>
      <c r="J39" s="44">
        <f t="shared" si="7"/>
        <v>57.3</v>
      </c>
      <c r="K39" s="42">
        <v>10000</v>
      </c>
      <c r="L39" s="42">
        <f t="shared" si="14"/>
        <v>573000</v>
      </c>
      <c r="M39" s="42"/>
      <c r="N39" s="42"/>
      <c r="O39" s="101"/>
      <c r="P39" s="45"/>
      <c r="Q39" s="42"/>
      <c r="R39" s="100"/>
      <c r="S39" s="42"/>
      <c r="T39" s="12">
        <f t="shared" si="8"/>
        <v>0</v>
      </c>
      <c r="U39" s="45"/>
      <c r="V39" s="12">
        <f aca="true" t="shared" si="15" ref="V39:V52">+T39*0</f>
        <v>0</v>
      </c>
      <c r="W39" s="12">
        <f t="shared" si="9"/>
        <v>0</v>
      </c>
      <c r="X39" s="116"/>
      <c r="Y39" s="117">
        <f t="shared" si="6"/>
        <v>573000</v>
      </c>
      <c r="Z39" s="12"/>
      <c r="AA39" s="12">
        <f t="shared" si="10"/>
        <v>573000</v>
      </c>
      <c r="AB39" s="12">
        <v>0.3</v>
      </c>
      <c r="AC39" s="12">
        <f t="shared" si="11"/>
        <v>1719</v>
      </c>
      <c r="AD39" s="42"/>
      <c r="AE39" s="12"/>
    </row>
    <row r="40" spans="1:31" s="46" customFormat="1" ht="21">
      <c r="A40" s="42"/>
      <c r="B40" s="42"/>
      <c r="C40" s="45"/>
      <c r="D40" s="31"/>
      <c r="E40" s="31"/>
      <c r="F40" s="47"/>
      <c r="G40" s="42"/>
      <c r="H40" s="42"/>
      <c r="I40" s="44"/>
      <c r="J40" s="44">
        <f t="shared" si="7"/>
        <v>0</v>
      </c>
      <c r="K40" s="42"/>
      <c r="L40" s="42">
        <f t="shared" si="14"/>
        <v>0</v>
      </c>
      <c r="M40" s="42"/>
      <c r="N40" s="42"/>
      <c r="O40" s="101"/>
      <c r="P40" s="45"/>
      <c r="Q40" s="42"/>
      <c r="R40" s="42"/>
      <c r="S40" s="42"/>
      <c r="T40" s="12">
        <f t="shared" si="8"/>
        <v>0</v>
      </c>
      <c r="U40" s="45"/>
      <c r="V40" s="12">
        <f t="shared" si="15"/>
        <v>0</v>
      </c>
      <c r="W40" s="12">
        <f t="shared" si="9"/>
        <v>0</v>
      </c>
      <c r="X40" s="12"/>
      <c r="Y40" s="12">
        <f t="shared" si="6"/>
        <v>0</v>
      </c>
      <c r="Z40" s="12"/>
      <c r="AA40" s="12">
        <f t="shared" si="10"/>
        <v>0</v>
      </c>
      <c r="AB40" s="12"/>
      <c r="AC40" s="12">
        <f t="shared" si="11"/>
        <v>0</v>
      </c>
      <c r="AD40" s="42"/>
      <c r="AE40" s="12"/>
    </row>
    <row r="41" spans="1:31" s="46" customFormat="1" ht="21">
      <c r="A41" s="42"/>
      <c r="B41" s="42"/>
      <c r="C41" s="45"/>
      <c r="D41" s="31"/>
      <c r="E41" s="31"/>
      <c r="F41" s="47"/>
      <c r="G41" s="42"/>
      <c r="H41" s="42"/>
      <c r="I41" s="44"/>
      <c r="J41" s="44">
        <f t="shared" si="7"/>
        <v>0</v>
      </c>
      <c r="K41" s="42"/>
      <c r="L41" s="42">
        <f t="shared" si="14"/>
        <v>0</v>
      </c>
      <c r="M41" s="42"/>
      <c r="N41" s="42"/>
      <c r="O41" s="101"/>
      <c r="P41" s="45"/>
      <c r="Q41" s="42"/>
      <c r="R41" s="42"/>
      <c r="S41" s="42"/>
      <c r="T41" s="12">
        <f t="shared" si="8"/>
        <v>0</v>
      </c>
      <c r="U41" s="45"/>
      <c r="V41" s="12">
        <f t="shared" si="15"/>
        <v>0</v>
      </c>
      <c r="W41" s="12">
        <f t="shared" si="9"/>
        <v>0</v>
      </c>
      <c r="X41" s="12"/>
      <c r="Y41" s="12">
        <f t="shared" si="6"/>
        <v>0</v>
      </c>
      <c r="Z41" s="12"/>
      <c r="AA41" s="12">
        <f t="shared" si="10"/>
        <v>0</v>
      </c>
      <c r="AB41" s="12"/>
      <c r="AC41" s="12">
        <f t="shared" si="11"/>
        <v>0</v>
      </c>
      <c r="AD41" s="42"/>
      <c r="AE41" s="12"/>
    </row>
    <row r="42" spans="1:31" s="46" customFormat="1" ht="21">
      <c r="A42" s="42" t="s">
        <v>0</v>
      </c>
      <c r="B42" s="42" t="s">
        <v>1</v>
      </c>
      <c r="C42" s="45" t="s">
        <v>1288</v>
      </c>
      <c r="D42" s="45" t="s">
        <v>123</v>
      </c>
      <c r="E42" s="29" t="s">
        <v>907</v>
      </c>
      <c r="F42" s="47">
        <v>4</v>
      </c>
      <c r="G42" s="42"/>
      <c r="H42" s="42"/>
      <c r="I42" s="44">
        <v>11.8</v>
      </c>
      <c r="J42" s="44">
        <f t="shared" si="7"/>
        <v>11.8</v>
      </c>
      <c r="K42" s="42">
        <v>4000</v>
      </c>
      <c r="L42" s="42">
        <f t="shared" si="14"/>
        <v>47200</v>
      </c>
      <c r="M42" s="42"/>
      <c r="N42" s="42"/>
      <c r="O42" s="101"/>
      <c r="P42" s="45"/>
      <c r="Q42" s="42"/>
      <c r="R42" s="100"/>
      <c r="S42" s="42"/>
      <c r="T42" s="12">
        <f t="shared" si="8"/>
        <v>0</v>
      </c>
      <c r="U42" s="45"/>
      <c r="V42" s="12">
        <f t="shared" si="15"/>
        <v>0</v>
      </c>
      <c r="W42" s="12">
        <f t="shared" si="9"/>
        <v>0</v>
      </c>
      <c r="X42" s="116"/>
      <c r="Y42" s="117">
        <f t="shared" si="6"/>
        <v>47200</v>
      </c>
      <c r="Z42" s="12"/>
      <c r="AA42" s="12">
        <f t="shared" si="10"/>
        <v>47200</v>
      </c>
      <c r="AB42" s="12">
        <v>0.3</v>
      </c>
      <c r="AC42" s="12">
        <f t="shared" si="11"/>
        <v>141.6</v>
      </c>
      <c r="AD42" s="42"/>
      <c r="AE42" s="12"/>
    </row>
    <row r="43" spans="1:31" s="46" customFormat="1" ht="21">
      <c r="A43" s="42"/>
      <c r="B43" s="42"/>
      <c r="C43" s="45"/>
      <c r="D43" s="31"/>
      <c r="E43" s="31"/>
      <c r="F43" s="47"/>
      <c r="G43" s="42"/>
      <c r="H43" s="42"/>
      <c r="I43" s="44"/>
      <c r="J43" s="44">
        <f t="shared" si="7"/>
        <v>0</v>
      </c>
      <c r="K43" s="42"/>
      <c r="L43" s="42">
        <f t="shared" si="14"/>
        <v>0</v>
      </c>
      <c r="M43" s="42"/>
      <c r="N43" s="42"/>
      <c r="O43" s="101"/>
      <c r="P43" s="45"/>
      <c r="Q43" s="42"/>
      <c r="R43" s="42"/>
      <c r="S43" s="42"/>
      <c r="T43" s="12">
        <f t="shared" si="8"/>
        <v>0</v>
      </c>
      <c r="U43" s="45"/>
      <c r="V43" s="12">
        <f t="shared" si="15"/>
        <v>0</v>
      </c>
      <c r="W43" s="12">
        <f t="shared" si="9"/>
        <v>0</v>
      </c>
      <c r="X43" s="12"/>
      <c r="Y43" s="12">
        <f t="shared" si="6"/>
        <v>0</v>
      </c>
      <c r="Z43" s="12"/>
      <c r="AA43" s="12">
        <f t="shared" si="10"/>
        <v>0</v>
      </c>
      <c r="AB43" s="12"/>
      <c r="AC43" s="12">
        <f t="shared" si="11"/>
        <v>0</v>
      </c>
      <c r="AD43" s="42"/>
      <c r="AE43" s="12"/>
    </row>
    <row r="44" spans="1:31" s="46" customFormat="1" ht="21">
      <c r="A44" s="42"/>
      <c r="B44" s="42"/>
      <c r="C44" s="45"/>
      <c r="D44" s="31"/>
      <c r="E44" s="31"/>
      <c r="F44" s="47"/>
      <c r="G44" s="42"/>
      <c r="H44" s="42"/>
      <c r="I44" s="44"/>
      <c r="J44" s="44">
        <f t="shared" si="7"/>
        <v>0</v>
      </c>
      <c r="K44" s="42"/>
      <c r="L44" s="42">
        <f t="shared" si="14"/>
        <v>0</v>
      </c>
      <c r="M44" s="42"/>
      <c r="N44" s="42"/>
      <c r="O44" s="101"/>
      <c r="P44" s="45"/>
      <c r="Q44" s="42"/>
      <c r="R44" s="42"/>
      <c r="S44" s="42"/>
      <c r="T44" s="12">
        <f t="shared" si="8"/>
        <v>0</v>
      </c>
      <c r="U44" s="45"/>
      <c r="V44" s="12">
        <f t="shared" si="15"/>
        <v>0</v>
      </c>
      <c r="W44" s="12">
        <f t="shared" si="9"/>
        <v>0</v>
      </c>
      <c r="X44" s="12"/>
      <c r="Y44" s="12">
        <f t="shared" si="6"/>
        <v>0</v>
      </c>
      <c r="Z44" s="12"/>
      <c r="AA44" s="12">
        <f t="shared" si="10"/>
        <v>0</v>
      </c>
      <c r="AB44" s="12"/>
      <c r="AC44" s="12">
        <f t="shared" si="11"/>
        <v>0</v>
      </c>
      <c r="AD44" s="42"/>
      <c r="AE44" s="12"/>
    </row>
    <row r="45" spans="1:31" s="46" customFormat="1" ht="21">
      <c r="A45" s="42" t="s">
        <v>0</v>
      </c>
      <c r="B45" s="42" t="s">
        <v>1</v>
      </c>
      <c r="C45" s="45" t="s">
        <v>1289</v>
      </c>
      <c r="D45" s="51" t="s">
        <v>124</v>
      </c>
      <c r="E45" s="29" t="s">
        <v>911</v>
      </c>
      <c r="F45" s="47">
        <v>1</v>
      </c>
      <c r="G45" s="42">
        <v>1</v>
      </c>
      <c r="H45" s="42">
        <v>2</v>
      </c>
      <c r="I45" s="44">
        <v>34.5</v>
      </c>
      <c r="J45" s="44">
        <f t="shared" si="7"/>
        <v>634.5</v>
      </c>
      <c r="K45" s="42">
        <v>150</v>
      </c>
      <c r="L45" s="42">
        <f aca="true" t="shared" si="16" ref="L45:L51">+K45*J45</f>
        <v>95175</v>
      </c>
      <c r="M45" s="42"/>
      <c r="N45" s="42"/>
      <c r="O45" s="101"/>
      <c r="P45" s="45"/>
      <c r="Q45" s="42"/>
      <c r="R45" s="100"/>
      <c r="S45" s="42"/>
      <c r="T45" s="12">
        <f t="shared" si="8"/>
        <v>0</v>
      </c>
      <c r="U45" s="45"/>
      <c r="V45" s="12">
        <f t="shared" si="15"/>
        <v>0</v>
      </c>
      <c r="W45" s="12">
        <f t="shared" si="9"/>
        <v>0</v>
      </c>
      <c r="X45" s="116"/>
      <c r="Y45" s="117">
        <f t="shared" si="6"/>
        <v>95175</v>
      </c>
      <c r="Z45" s="12">
        <f>+Y45</f>
        <v>95175</v>
      </c>
      <c r="AA45" s="12">
        <f t="shared" si="10"/>
        <v>0</v>
      </c>
      <c r="AB45" s="12"/>
      <c r="AC45" s="12">
        <f t="shared" si="11"/>
        <v>0</v>
      </c>
      <c r="AD45" s="42"/>
      <c r="AE45" s="12"/>
    </row>
    <row r="46" spans="1:31" s="46" customFormat="1" ht="21">
      <c r="A46" s="42" t="s">
        <v>0</v>
      </c>
      <c r="B46" s="42" t="s">
        <v>1</v>
      </c>
      <c r="C46" s="45" t="s">
        <v>1290</v>
      </c>
      <c r="D46" s="51" t="s">
        <v>125</v>
      </c>
      <c r="E46" s="29" t="s">
        <v>911</v>
      </c>
      <c r="F46" s="47">
        <v>1</v>
      </c>
      <c r="G46" s="42">
        <v>1</v>
      </c>
      <c r="H46" s="42">
        <v>2</v>
      </c>
      <c r="I46" s="44">
        <v>8.3</v>
      </c>
      <c r="J46" s="44">
        <f t="shared" si="7"/>
        <v>608.3</v>
      </c>
      <c r="K46" s="42">
        <v>150</v>
      </c>
      <c r="L46" s="42">
        <f t="shared" si="16"/>
        <v>91245</v>
      </c>
      <c r="M46" s="42"/>
      <c r="N46" s="42"/>
      <c r="O46" s="101"/>
      <c r="P46" s="45"/>
      <c r="Q46" s="42"/>
      <c r="R46" s="100"/>
      <c r="S46" s="42"/>
      <c r="T46" s="12">
        <f t="shared" si="8"/>
        <v>0</v>
      </c>
      <c r="U46" s="45"/>
      <c r="V46" s="12">
        <f t="shared" si="15"/>
        <v>0</v>
      </c>
      <c r="W46" s="12">
        <f t="shared" si="9"/>
        <v>0</v>
      </c>
      <c r="X46" s="116"/>
      <c r="Y46" s="117">
        <f t="shared" si="6"/>
        <v>91245</v>
      </c>
      <c r="Z46" s="12">
        <f>+Y46</f>
        <v>91245</v>
      </c>
      <c r="AA46" s="12">
        <f t="shared" si="10"/>
        <v>0</v>
      </c>
      <c r="AB46" s="12"/>
      <c r="AC46" s="12">
        <f t="shared" si="11"/>
        <v>0</v>
      </c>
      <c r="AD46" s="42"/>
      <c r="AE46" s="12"/>
    </row>
    <row r="47" spans="1:31" s="46" customFormat="1" ht="21">
      <c r="A47" s="42" t="s">
        <v>0</v>
      </c>
      <c r="B47" s="42" t="s">
        <v>1</v>
      </c>
      <c r="C47" s="45" t="s">
        <v>1291</v>
      </c>
      <c r="D47" s="51" t="s">
        <v>126</v>
      </c>
      <c r="E47" s="29" t="s">
        <v>911</v>
      </c>
      <c r="F47" s="47">
        <v>1</v>
      </c>
      <c r="G47" s="42"/>
      <c r="H47" s="42">
        <v>1</v>
      </c>
      <c r="I47" s="44">
        <v>43</v>
      </c>
      <c r="J47" s="44">
        <f t="shared" si="7"/>
        <v>143</v>
      </c>
      <c r="K47" s="42">
        <v>150</v>
      </c>
      <c r="L47" s="42">
        <f t="shared" si="16"/>
        <v>21450</v>
      </c>
      <c r="M47" s="42"/>
      <c r="N47" s="42"/>
      <c r="O47" s="101"/>
      <c r="P47" s="45"/>
      <c r="Q47" s="42"/>
      <c r="R47" s="100"/>
      <c r="S47" s="42"/>
      <c r="T47" s="12">
        <f t="shared" si="8"/>
        <v>0</v>
      </c>
      <c r="U47" s="45"/>
      <c r="V47" s="12">
        <f t="shared" si="15"/>
        <v>0</v>
      </c>
      <c r="W47" s="12">
        <f t="shared" si="9"/>
        <v>0</v>
      </c>
      <c r="X47" s="116"/>
      <c r="Y47" s="117">
        <f t="shared" si="6"/>
        <v>21450</v>
      </c>
      <c r="Z47" s="12">
        <f>+Y47</f>
        <v>21450</v>
      </c>
      <c r="AA47" s="12">
        <f t="shared" si="10"/>
        <v>0</v>
      </c>
      <c r="AB47" s="12"/>
      <c r="AC47" s="12">
        <f t="shared" si="11"/>
        <v>0</v>
      </c>
      <c r="AD47" s="42"/>
      <c r="AE47" s="12"/>
    </row>
    <row r="48" spans="1:31" s="46" customFormat="1" ht="21">
      <c r="A48" s="42" t="s">
        <v>0</v>
      </c>
      <c r="B48" s="42" t="s">
        <v>1</v>
      </c>
      <c r="C48" s="45" t="s">
        <v>1292</v>
      </c>
      <c r="D48" s="51" t="s">
        <v>127</v>
      </c>
      <c r="E48" s="29" t="s">
        <v>911</v>
      </c>
      <c r="F48" s="47">
        <v>1</v>
      </c>
      <c r="G48" s="42"/>
      <c r="H48" s="42">
        <v>3</v>
      </c>
      <c r="I48" s="44">
        <v>9.5</v>
      </c>
      <c r="J48" s="44">
        <f t="shared" si="7"/>
        <v>309.5</v>
      </c>
      <c r="K48" s="42">
        <v>150</v>
      </c>
      <c r="L48" s="42">
        <f t="shared" si="16"/>
        <v>46425</v>
      </c>
      <c r="M48" s="42"/>
      <c r="N48" s="42"/>
      <c r="O48" s="101"/>
      <c r="P48" s="45"/>
      <c r="Q48" s="42"/>
      <c r="R48" s="100"/>
      <c r="S48" s="42"/>
      <c r="T48" s="12">
        <f t="shared" si="8"/>
        <v>0</v>
      </c>
      <c r="U48" s="45"/>
      <c r="V48" s="12">
        <f t="shared" si="15"/>
        <v>0</v>
      </c>
      <c r="W48" s="12">
        <f t="shared" si="9"/>
        <v>0</v>
      </c>
      <c r="X48" s="116"/>
      <c r="Y48" s="117">
        <f t="shared" si="6"/>
        <v>46425</v>
      </c>
      <c r="Z48" s="12">
        <f>+Y48</f>
        <v>46425</v>
      </c>
      <c r="AA48" s="12">
        <f t="shared" si="10"/>
        <v>0</v>
      </c>
      <c r="AB48" s="12"/>
      <c r="AC48" s="12">
        <f t="shared" si="11"/>
        <v>0</v>
      </c>
      <c r="AD48" s="42"/>
      <c r="AE48" s="12"/>
    </row>
    <row r="49" spans="1:31" s="46" customFormat="1" ht="21">
      <c r="A49" s="42" t="s">
        <v>0</v>
      </c>
      <c r="B49" s="42" t="s">
        <v>1</v>
      </c>
      <c r="C49" s="45" t="s">
        <v>1293</v>
      </c>
      <c r="D49" s="51" t="s">
        <v>128</v>
      </c>
      <c r="E49" s="29" t="s">
        <v>911</v>
      </c>
      <c r="F49" s="47">
        <v>1</v>
      </c>
      <c r="G49" s="42"/>
      <c r="H49" s="42">
        <v>3</v>
      </c>
      <c r="I49" s="44">
        <v>30.5</v>
      </c>
      <c r="J49" s="44">
        <f t="shared" si="7"/>
        <v>330.5</v>
      </c>
      <c r="K49" s="42">
        <v>150</v>
      </c>
      <c r="L49" s="42">
        <f t="shared" si="16"/>
        <v>49575</v>
      </c>
      <c r="M49" s="42"/>
      <c r="N49" s="42"/>
      <c r="O49" s="101"/>
      <c r="P49" s="45"/>
      <c r="Q49" s="42"/>
      <c r="R49" s="100"/>
      <c r="S49" s="42"/>
      <c r="T49" s="12">
        <f t="shared" si="8"/>
        <v>0</v>
      </c>
      <c r="U49" s="45"/>
      <c r="V49" s="12">
        <f t="shared" si="15"/>
        <v>0</v>
      </c>
      <c r="W49" s="12">
        <f t="shared" si="9"/>
        <v>0</v>
      </c>
      <c r="X49" s="116"/>
      <c r="Y49" s="117">
        <f t="shared" si="6"/>
        <v>49575</v>
      </c>
      <c r="Z49" s="12">
        <f>+Y49</f>
        <v>49575</v>
      </c>
      <c r="AA49" s="12">
        <f t="shared" si="10"/>
        <v>0</v>
      </c>
      <c r="AB49" s="12"/>
      <c r="AC49" s="12">
        <f t="shared" si="11"/>
        <v>0</v>
      </c>
      <c r="AD49" s="42"/>
      <c r="AE49" s="12"/>
    </row>
    <row r="50" spans="1:31" s="46" customFormat="1" ht="21">
      <c r="A50" s="42" t="s">
        <v>0</v>
      </c>
      <c r="B50" s="42" t="s">
        <v>1</v>
      </c>
      <c r="C50" s="45" t="s">
        <v>1294</v>
      </c>
      <c r="D50" s="45" t="s">
        <v>129</v>
      </c>
      <c r="E50" s="10" t="s">
        <v>909</v>
      </c>
      <c r="F50" s="47">
        <v>4</v>
      </c>
      <c r="G50" s="42"/>
      <c r="H50" s="42"/>
      <c r="I50" s="44">
        <v>50.1</v>
      </c>
      <c r="J50" s="44">
        <f t="shared" si="7"/>
        <v>50.1</v>
      </c>
      <c r="K50" s="42">
        <v>10000</v>
      </c>
      <c r="L50" s="42">
        <f t="shared" si="16"/>
        <v>501000</v>
      </c>
      <c r="M50" s="42"/>
      <c r="N50" s="42"/>
      <c r="O50" s="101"/>
      <c r="P50" s="45"/>
      <c r="Q50" s="42"/>
      <c r="R50" s="100"/>
      <c r="S50" s="42"/>
      <c r="T50" s="12">
        <f t="shared" si="8"/>
        <v>0</v>
      </c>
      <c r="U50" s="45"/>
      <c r="V50" s="12">
        <f t="shared" si="15"/>
        <v>0</v>
      </c>
      <c r="W50" s="12">
        <f t="shared" si="9"/>
        <v>0</v>
      </c>
      <c r="X50" s="116"/>
      <c r="Y50" s="117">
        <f t="shared" si="6"/>
        <v>501000</v>
      </c>
      <c r="Z50" s="12"/>
      <c r="AA50" s="12">
        <f t="shared" si="10"/>
        <v>501000</v>
      </c>
      <c r="AB50" s="12">
        <v>0.3</v>
      </c>
      <c r="AC50" s="12">
        <f t="shared" si="11"/>
        <v>1503</v>
      </c>
      <c r="AD50" s="42"/>
      <c r="AE50" s="12"/>
    </row>
    <row r="51" spans="1:31" s="46" customFormat="1" ht="21">
      <c r="A51" s="42"/>
      <c r="B51" s="42"/>
      <c r="C51" s="45"/>
      <c r="D51" s="31"/>
      <c r="E51" s="31"/>
      <c r="F51" s="47"/>
      <c r="G51" s="42"/>
      <c r="H51" s="42"/>
      <c r="I51" s="44"/>
      <c r="J51" s="44">
        <f t="shared" si="7"/>
        <v>0</v>
      </c>
      <c r="K51" s="42"/>
      <c r="L51" s="42">
        <f t="shared" si="16"/>
        <v>0</v>
      </c>
      <c r="M51" s="42"/>
      <c r="N51" s="42"/>
      <c r="O51" s="101"/>
      <c r="P51" s="45"/>
      <c r="Q51" s="42"/>
      <c r="R51" s="42"/>
      <c r="S51" s="42"/>
      <c r="T51" s="12">
        <f t="shared" si="8"/>
        <v>0</v>
      </c>
      <c r="U51" s="45"/>
      <c r="V51" s="12">
        <f t="shared" si="15"/>
        <v>0</v>
      </c>
      <c r="W51" s="12">
        <f t="shared" si="9"/>
        <v>0</v>
      </c>
      <c r="X51" s="12"/>
      <c r="Y51" s="12">
        <f t="shared" si="6"/>
        <v>0</v>
      </c>
      <c r="Z51" s="12"/>
      <c r="AA51" s="12">
        <f t="shared" si="10"/>
        <v>0</v>
      </c>
      <c r="AB51" s="12"/>
      <c r="AC51" s="12">
        <f t="shared" si="11"/>
        <v>0</v>
      </c>
      <c r="AD51" s="42"/>
      <c r="AE51" s="12"/>
    </row>
    <row r="52" spans="1:31" s="46" customFormat="1" ht="21">
      <c r="A52" s="42"/>
      <c r="B52" s="42"/>
      <c r="C52" s="45"/>
      <c r="D52" s="31"/>
      <c r="E52" s="31"/>
      <c r="F52" s="47"/>
      <c r="G52" s="42"/>
      <c r="H52" s="42"/>
      <c r="I52" s="44"/>
      <c r="J52" s="44">
        <f t="shared" si="7"/>
        <v>0</v>
      </c>
      <c r="K52" s="42"/>
      <c r="L52" s="42">
        <f aca="true" t="shared" si="17" ref="L52:L69">+K52*J52</f>
        <v>0</v>
      </c>
      <c r="M52" s="42"/>
      <c r="N52" s="42"/>
      <c r="O52" s="101"/>
      <c r="P52" s="45"/>
      <c r="Q52" s="42"/>
      <c r="R52" s="42"/>
      <c r="S52" s="42"/>
      <c r="T52" s="12">
        <f t="shared" si="8"/>
        <v>0</v>
      </c>
      <c r="U52" s="45"/>
      <c r="V52" s="12">
        <f t="shared" si="15"/>
        <v>0</v>
      </c>
      <c r="W52" s="12">
        <f t="shared" si="9"/>
        <v>0</v>
      </c>
      <c r="X52" s="12"/>
      <c r="Y52" s="12">
        <f t="shared" si="6"/>
        <v>0</v>
      </c>
      <c r="Z52" s="12"/>
      <c r="AA52" s="12">
        <f t="shared" si="10"/>
        <v>0</v>
      </c>
      <c r="AB52" s="12"/>
      <c r="AC52" s="12">
        <f t="shared" si="11"/>
        <v>0</v>
      </c>
      <c r="AD52" s="42"/>
      <c r="AE52" s="12"/>
    </row>
    <row r="53" spans="1:31" s="46" customFormat="1" ht="21">
      <c r="A53" s="42" t="s">
        <v>0</v>
      </c>
      <c r="B53" s="42" t="s">
        <v>1</v>
      </c>
      <c r="C53" s="45" t="s">
        <v>1295</v>
      </c>
      <c r="D53" s="45" t="s">
        <v>130</v>
      </c>
      <c r="E53" s="29" t="s">
        <v>907</v>
      </c>
      <c r="F53" s="47">
        <v>2</v>
      </c>
      <c r="G53" s="42"/>
      <c r="H53" s="42"/>
      <c r="I53" s="44">
        <v>16</v>
      </c>
      <c r="J53" s="44">
        <f t="shared" si="7"/>
        <v>16</v>
      </c>
      <c r="K53" s="42">
        <v>20000</v>
      </c>
      <c r="L53" s="42">
        <f t="shared" si="17"/>
        <v>320000</v>
      </c>
      <c r="M53" s="42"/>
      <c r="N53" s="42" t="s">
        <v>60</v>
      </c>
      <c r="O53" s="101" t="s">
        <v>446</v>
      </c>
      <c r="P53" s="45">
        <v>2</v>
      </c>
      <c r="Q53" s="100">
        <v>128</v>
      </c>
      <c r="R53" s="100"/>
      <c r="S53" s="42">
        <v>7550</v>
      </c>
      <c r="T53" s="12">
        <f t="shared" si="8"/>
        <v>966400</v>
      </c>
      <c r="U53" s="102" t="s">
        <v>99</v>
      </c>
      <c r="V53" s="12">
        <f>+T53*0.56</f>
        <v>541184</v>
      </c>
      <c r="W53" s="12">
        <f t="shared" si="9"/>
        <v>425216</v>
      </c>
      <c r="X53" s="116"/>
      <c r="Y53" s="117">
        <f t="shared" si="6"/>
        <v>745216</v>
      </c>
      <c r="Z53" s="12"/>
      <c r="AA53" s="12">
        <f t="shared" si="10"/>
        <v>745216</v>
      </c>
      <c r="AB53" s="12">
        <v>0.02</v>
      </c>
      <c r="AC53" s="12">
        <f t="shared" si="11"/>
        <v>149.04319999999998</v>
      </c>
      <c r="AD53" s="42"/>
      <c r="AE53" s="12"/>
    </row>
    <row r="54" spans="1:31" s="46" customFormat="1" ht="21">
      <c r="A54" s="42"/>
      <c r="B54" s="42"/>
      <c r="C54" s="45"/>
      <c r="D54" s="31"/>
      <c r="E54" s="31"/>
      <c r="F54" s="47"/>
      <c r="G54" s="42"/>
      <c r="H54" s="42"/>
      <c r="I54" s="44"/>
      <c r="J54" s="44">
        <f t="shared" si="7"/>
        <v>0</v>
      </c>
      <c r="K54" s="42"/>
      <c r="L54" s="42">
        <f t="shared" si="17"/>
        <v>0</v>
      </c>
      <c r="M54" s="42"/>
      <c r="N54" s="42"/>
      <c r="O54" s="101"/>
      <c r="P54" s="45"/>
      <c r="Q54" s="42"/>
      <c r="R54" s="42"/>
      <c r="S54" s="42"/>
      <c r="T54" s="12">
        <f t="shared" si="8"/>
        <v>0</v>
      </c>
      <c r="U54" s="45"/>
      <c r="V54" s="12">
        <f>+T54*0</f>
        <v>0</v>
      </c>
      <c r="W54" s="12">
        <f t="shared" si="9"/>
        <v>0</v>
      </c>
      <c r="X54" s="12"/>
      <c r="Y54" s="12">
        <f t="shared" si="6"/>
        <v>0</v>
      </c>
      <c r="Z54" s="12"/>
      <c r="AA54" s="12">
        <f t="shared" si="10"/>
        <v>0</v>
      </c>
      <c r="AB54" s="12"/>
      <c r="AC54" s="12">
        <f t="shared" si="11"/>
        <v>0</v>
      </c>
      <c r="AD54" s="42"/>
      <c r="AE54" s="12"/>
    </row>
    <row r="55" spans="1:31" s="46" customFormat="1" ht="21">
      <c r="A55" s="42"/>
      <c r="B55" s="42"/>
      <c r="C55" s="45"/>
      <c r="D55" s="31"/>
      <c r="E55" s="31"/>
      <c r="F55" s="47"/>
      <c r="G55" s="42"/>
      <c r="H55" s="42"/>
      <c r="I55" s="44"/>
      <c r="J55" s="44">
        <f t="shared" si="7"/>
        <v>0</v>
      </c>
      <c r="K55" s="42"/>
      <c r="L55" s="42">
        <f t="shared" si="17"/>
        <v>0</v>
      </c>
      <c r="M55" s="42"/>
      <c r="N55" s="42"/>
      <c r="O55" s="101"/>
      <c r="P55" s="45"/>
      <c r="Q55" s="42"/>
      <c r="R55" s="42"/>
      <c r="S55" s="42"/>
      <c r="T55" s="12">
        <f t="shared" si="8"/>
        <v>0</v>
      </c>
      <c r="U55" s="45"/>
      <c r="V55" s="12">
        <f>+T55*0</f>
        <v>0</v>
      </c>
      <c r="W55" s="12">
        <f t="shared" si="9"/>
        <v>0</v>
      </c>
      <c r="X55" s="12"/>
      <c r="Y55" s="12">
        <f t="shared" si="6"/>
        <v>0</v>
      </c>
      <c r="Z55" s="12"/>
      <c r="AA55" s="12">
        <f t="shared" si="10"/>
        <v>0</v>
      </c>
      <c r="AB55" s="12"/>
      <c r="AC55" s="12">
        <f t="shared" si="11"/>
        <v>0</v>
      </c>
      <c r="AD55" s="42"/>
      <c r="AE55" s="12"/>
    </row>
    <row r="56" spans="1:31" s="46" customFormat="1" ht="21">
      <c r="A56" s="42" t="s">
        <v>0</v>
      </c>
      <c r="B56" s="42" t="s">
        <v>1</v>
      </c>
      <c r="C56" s="45" t="s">
        <v>1296</v>
      </c>
      <c r="D56" s="51" t="s">
        <v>131</v>
      </c>
      <c r="E56" s="30" t="s">
        <v>908</v>
      </c>
      <c r="F56" s="47" t="s">
        <v>167</v>
      </c>
      <c r="G56" s="42"/>
      <c r="H56" s="42">
        <v>1</v>
      </c>
      <c r="I56" s="44">
        <v>85.2</v>
      </c>
      <c r="J56" s="44">
        <f t="shared" si="7"/>
        <v>185.2</v>
      </c>
      <c r="K56" s="42">
        <v>16500</v>
      </c>
      <c r="L56" s="42">
        <f t="shared" si="17"/>
        <v>3055800</v>
      </c>
      <c r="M56" s="42">
        <v>1</v>
      </c>
      <c r="N56" s="42" t="s">
        <v>61</v>
      </c>
      <c r="O56" s="101" t="s">
        <v>447</v>
      </c>
      <c r="P56" s="45">
        <v>2</v>
      </c>
      <c r="Q56" s="100">
        <v>144</v>
      </c>
      <c r="R56" s="100">
        <v>18.19</v>
      </c>
      <c r="S56" s="42">
        <v>6650</v>
      </c>
      <c r="T56" s="12">
        <f t="shared" si="8"/>
        <v>957600</v>
      </c>
      <c r="U56" s="102" t="s">
        <v>133</v>
      </c>
      <c r="V56" s="12">
        <f>+T56*0.85</f>
        <v>813960</v>
      </c>
      <c r="W56" s="12">
        <f t="shared" si="9"/>
        <v>143640</v>
      </c>
      <c r="X56" s="116"/>
      <c r="Y56" s="117">
        <f>+L56*(R56/100)+W56</f>
        <v>699490.02</v>
      </c>
      <c r="Z56" s="12"/>
      <c r="AA56" s="12">
        <f t="shared" si="10"/>
        <v>699490.02</v>
      </c>
      <c r="AB56" s="12">
        <v>0.02</v>
      </c>
      <c r="AC56" s="12">
        <f t="shared" si="11"/>
        <v>139.89800400000001</v>
      </c>
      <c r="AD56" s="42"/>
      <c r="AE56" s="12"/>
    </row>
    <row r="57" spans="1:31" s="46" customFormat="1" ht="21">
      <c r="A57" s="42" t="s">
        <v>0</v>
      </c>
      <c r="B57" s="42"/>
      <c r="C57" s="45"/>
      <c r="D57" s="45"/>
      <c r="E57" s="31"/>
      <c r="F57" s="47"/>
      <c r="G57" s="42"/>
      <c r="H57" s="42"/>
      <c r="I57" s="44"/>
      <c r="J57" s="44">
        <f t="shared" si="7"/>
        <v>0</v>
      </c>
      <c r="K57" s="42"/>
      <c r="L57" s="42">
        <f t="shared" si="17"/>
        <v>0</v>
      </c>
      <c r="M57" s="42">
        <v>2</v>
      </c>
      <c r="N57" s="42" t="s">
        <v>132</v>
      </c>
      <c r="O57" s="101" t="s">
        <v>447</v>
      </c>
      <c r="P57" s="45">
        <v>3</v>
      </c>
      <c r="Q57" s="100">
        <f>72*9</f>
        <v>648</v>
      </c>
      <c r="R57" s="100">
        <v>81.81</v>
      </c>
      <c r="S57" s="42">
        <v>6650</v>
      </c>
      <c r="T57" s="12">
        <f t="shared" si="8"/>
        <v>4309200</v>
      </c>
      <c r="U57" s="102" t="s">
        <v>133</v>
      </c>
      <c r="V57" s="12">
        <f>+T57*0.85</f>
        <v>3662820</v>
      </c>
      <c r="W57" s="12">
        <f t="shared" si="9"/>
        <v>646380</v>
      </c>
      <c r="X57" s="116"/>
      <c r="Y57" s="117">
        <f>+L56*(R57/100)+W57</f>
        <v>3146329.98</v>
      </c>
      <c r="Z57" s="12"/>
      <c r="AA57" s="12">
        <f t="shared" si="10"/>
        <v>3146329.98</v>
      </c>
      <c r="AB57" s="12">
        <v>0.3</v>
      </c>
      <c r="AC57" s="12">
        <f t="shared" si="11"/>
        <v>9438.98994</v>
      </c>
      <c r="AD57" s="42"/>
      <c r="AE57" s="12"/>
    </row>
    <row r="58" spans="1:31" s="46" customFormat="1" ht="21">
      <c r="A58" s="42"/>
      <c r="B58" s="42"/>
      <c r="C58" s="45"/>
      <c r="D58" s="31"/>
      <c r="E58" s="31"/>
      <c r="F58" s="47"/>
      <c r="G58" s="42"/>
      <c r="H58" s="42"/>
      <c r="I58" s="44"/>
      <c r="J58" s="44">
        <f t="shared" si="7"/>
        <v>0</v>
      </c>
      <c r="K58" s="42"/>
      <c r="L58" s="42">
        <f t="shared" si="17"/>
        <v>0</v>
      </c>
      <c r="M58" s="42"/>
      <c r="N58" s="42"/>
      <c r="O58" s="101"/>
      <c r="P58" s="45"/>
      <c r="Q58" s="42"/>
      <c r="R58" s="42"/>
      <c r="S58" s="42"/>
      <c r="T58" s="12">
        <f t="shared" si="8"/>
        <v>0</v>
      </c>
      <c r="U58" s="45"/>
      <c r="V58" s="12">
        <f>+T58*0</f>
        <v>0</v>
      </c>
      <c r="W58" s="12">
        <f t="shared" si="9"/>
        <v>0</v>
      </c>
      <c r="X58" s="12"/>
      <c r="Y58" s="12">
        <f aca="true" t="shared" si="18" ref="Y58:Y65">+L58+W58</f>
        <v>0</v>
      </c>
      <c r="Z58" s="12"/>
      <c r="AA58" s="12">
        <f t="shared" si="10"/>
        <v>0</v>
      </c>
      <c r="AB58" s="12"/>
      <c r="AC58" s="12">
        <f t="shared" si="11"/>
        <v>0</v>
      </c>
      <c r="AD58" s="42"/>
      <c r="AE58" s="12"/>
    </row>
    <row r="59" spans="1:31" s="46" customFormat="1" ht="21">
      <c r="A59" s="42"/>
      <c r="B59" s="42"/>
      <c r="C59" s="45"/>
      <c r="D59" s="31"/>
      <c r="E59" s="31"/>
      <c r="F59" s="47"/>
      <c r="G59" s="42"/>
      <c r="H59" s="42"/>
      <c r="I59" s="44"/>
      <c r="J59" s="44">
        <f t="shared" si="7"/>
        <v>0</v>
      </c>
      <c r="K59" s="42"/>
      <c r="L59" s="42">
        <f t="shared" si="17"/>
        <v>0</v>
      </c>
      <c r="M59" s="42"/>
      <c r="N59" s="42"/>
      <c r="O59" s="101"/>
      <c r="P59" s="45"/>
      <c r="Q59" s="42"/>
      <c r="R59" s="42"/>
      <c r="S59" s="42"/>
      <c r="T59" s="12">
        <f t="shared" si="8"/>
        <v>0</v>
      </c>
      <c r="U59" s="45"/>
      <c r="V59" s="12">
        <f>+T59*0</f>
        <v>0</v>
      </c>
      <c r="W59" s="12">
        <f t="shared" si="9"/>
        <v>0</v>
      </c>
      <c r="X59" s="12"/>
      <c r="Y59" s="12">
        <f t="shared" si="18"/>
        <v>0</v>
      </c>
      <c r="Z59" s="12"/>
      <c r="AA59" s="12">
        <f t="shared" si="10"/>
        <v>0</v>
      </c>
      <c r="AB59" s="12"/>
      <c r="AC59" s="12">
        <f t="shared" si="11"/>
        <v>0</v>
      </c>
      <c r="AD59" s="42"/>
      <c r="AE59" s="12"/>
    </row>
    <row r="60" spans="1:31" s="46" customFormat="1" ht="21">
      <c r="A60" s="42" t="s">
        <v>0</v>
      </c>
      <c r="B60" s="42" t="s">
        <v>1</v>
      </c>
      <c r="C60" s="45" t="s">
        <v>1297</v>
      </c>
      <c r="D60" s="45" t="s">
        <v>134</v>
      </c>
      <c r="E60" s="29" t="s">
        <v>907</v>
      </c>
      <c r="F60" s="47">
        <v>1</v>
      </c>
      <c r="G60" s="42"/>
      <c r="H60" s="42">
        <v>1</v>
      </c>
      <c r="I60" s="44">
        <v>57.4</v>
      </c>
      <c r="J60" s="44">
        <f aca="true" t="shared" si="19" ref="J60:J65">+I60+(H60*100)+(G60*400)</f>
        <v>157.4</v>
      </c>
      <c r="K60" s="42">
        <v>6000</v>
      </c>
      <c r="L60" s="42">
        <f t="shared" si="17"/>
        <v>944400</v>
      </c>
      <c r="M60" s="42"/>
      <c r="N60" s="42"/>
      <c r="O60" s="101"/>
      <c r="P60" s="45"/>
      <c r="Q60" s="42"/>
      <c r="R60" s="100"/>
      <c r="S60" s="42"/>
      <c r="T60" s="12">
        <f aca="true" t="shared" si="20" ref="T60:T65">+Q60*S60</f>
        <v>0</v>
      </c>
      <c r="U60" s="45"/>
      <c r="V60" s="12">
        <f aca="true" t="shared" si="21" ref="V60:V65">+T60*0</f>
        <v>0</v>
      </c>
      <c r="W60" s="12">
        <f aca="true" t="shared" si="22" ref="W60:W65">+T60-V60</f>
        <v>0</v>
      </c>
      <c r="X60" s="116"/>
      <c r="Y60" s="117">
        <f t="shared" si="18"/>
        <v>944400</v>
      </c>
      <c r="Z60" s="12">
        <f>+Y60</f>
        <v>944400</v>
      </c>
      <c r="AA60" s="12">
        <f aca="true" t="shared" si="23" ref="AA60:AA65">+Y60-Z60</f>
        <v>0</v>
      </c>
      <c r="AB60" s="12"/>
      <c r="AC60" s="12">
        <f aca="true" t="shared" si="24" ref="AC60:AC65">+AA60*AB60/100</f>
        <v>0</v>
      </c>
      <c r="AD60" s="42"/>
      <c r="AE60" s="12"/>
    </row>
    <row r="61" spans="1:31" s="46" customFormat="1" ht="21">
      <c r="A61" s="42"/>
      <c r="B61" s="42"/>
      <c r="C61" s="45"/>
      <c r="D61" s="31"/>
      <c r="E61" s="31"/>
      <c r="F61" s="47"/>
      <c r="G61" s="42"/>
      <c r="H61" s="42"/>
      <c r="I61" s="44"/>
      <c r="J61" s="44">
        <f t="shared" si="19"/>
        <v>0</v>
      </c>
      <c r="K61" s="42"/>
      <c r="L61" s="42">
        <f t="shared" si="17"/>
        <v>0</v>
      </c>
      <c r="M61" s="42"/>
      <c r="N61" s="42"/>
      <c r="O61" s="101"/>
      <c r="P61" s="45"/>
      <c r="Q61" s="42"/>
      <c r="R61" s="42"/>
      <c r="S61" s="42"/>
      <c r="T61" s="12">
        <f t="shared" si="20"/>
        <v>0</v>
      </c>
      <c r="U61" s="45"/>
      <c r="V61" s="12">
        <f t="shared" si="21"/>
        <v>0</v>
      </c>
      <c r="W61" s="12">
        <f t="shared" si="22"/>
        <v>0</v>
      </c>
      <c r="X61" s="12"/>
      <c r="Y61" s="12">
        <f t="shared" si="18"/>
        <v>0</v>
      </c>
      <c r="Z61" s="12"/>
      <c r="AA61" s="12">
        <f t="shared" si="23"/>
        <v>0</v>
      </c>
      <c r="AB61" s="12"/>
      <c r="AC61" s="12">
        <f t="shared" si="24"/>
        <v>0</v>
      </c>
      <c r="AD61" s="42"/>
      <c r="AE61" s="12"/>
    </row>
    <row r="62" spans="1:31" s="46" customFormat="1" ht="21">
      <c r="A62" s="42"/>
      <c r="B62" s="42"/>
      <c r="C62" s="45"/>
      <c r="D62" s="31"/>
      <c r="E62" s="31"/>
      <c r="F62" s="47"/>
      <c r="G62" s="42"/>
      <c r="H62" s="42"/>
      <c r="I62" s="44"/>
      <c r="J62" s="44">
        <f t="shared" si="19"/>
        <v>0</v>
      </c>
      <c r="K62" s="42"/>
      <c r="L62" s="42">
        <f t="shared" si="17"/>
        <v>0</v>
      </c>
      <c r="M62" s="42"/>
      <c r="N62" s="42"/>
      <c r="O62" s="101"/>
      <c r="P62" s="45"/>
      <c r="Q62" s="42"/>
      <c r="R62" s="42"/>
      <c r="S62" s="42"/>
      <c r="T62" s="12">
        <f t="shared" si="20"/>
        <v>0</v>
      </c>
      <c r="U62" s="45"/>
      <c r="V62" s="12">
        <f t="shared" si="21"/>
        <v>0</v>
      </c>
      <c r="W62" s="12">
        <f t="shared" si="22"/>
        <v>0</v>
      </c>
      <c r="X62" s="12"/>
      <c r="Y62" s="12">
        <f t="shared" si="18"/>
        <v>0</v>
      </c>
      <c r="Z62" s="12"/>
      <c r="AA62" s="12">
        <f t="shared" si="23"/>
        <v>0</v>
      </c>
      <c r="AB62" s="12"/>
      <c r="AC62" s="12">
        <f t="shared" si="24"/>
        <v>0</v>
      </c>
      <c r="AD62" s="42"/>
      <c r="AE62" s="12"/>
    </row>
    <row r="63" spans="1:31" s="46" customFormat="1" ht="21">
      <c r="A63" s="42" t="s">
        <v>0</v>
      </c>
      <c r="B63" s="42" t="s">
        <v>1</v>
      </c>
      <c r="C63" s="45" t="s">
        <v>1298</v>
      </c>
      <c r="D63" s="45" t="s">
        <v>135</v>
      </c>
      <c r="E63" s="29" t="s">
        <v>907</v>
      </c>
      <c r="F63" s="47" t="s">
        <v>137</v>
      </c>
      <c r="G63" s="42"/>
      <c r="H63" s="42"/>
      <c r="I63" s="44">
        <v>84.2</v>
      </c>
      <c r="J63" s="44">
        <f>+I63+(H63*100)+(G63*400)</f>
        <v>84.2</v>
      </c>
      <c r="K63" s="42">
        <v>20000</v>
      </c>
      <c r="L63" s="42">
        <f t="shared" si="17"/>
        <v>1684000</v>
      </c>
      <c r="M63" s="42"/>
      <c r="N63" s="42" t="s">
        <v>117</v>
      </c>
      <c r="O63" s="104" t="s">
        <v>446</v>
      </c>
      <c r="P63" s="45">
        <v>2</v>
      </c>
      <c r="Q63" s="104">
        <v>90</v>
      </c>
      <c r="R63" s="100"/>
      <c r="S63" s="42">
        <v>2500</v>
      </c>
      <c r="T63" s="12">
        <f>+Q63*S63</f>
        <v>225000</v>
      </c>
      <c r="U63" s="45" t="s">
        <v>193</v>
      </c>
      <c r="V63" s="12">
        <f>+T63*0.01</f>
        <v>2250</v>
      </c>
      <c r="W63" s="12">
        <f>+T63-V63</f>
        <v>222750</v>
      </c>
      <c r="X63" s="116"/>
      <c r="Y63" s="117">
        <f t="shared" si="18"/>
        <v>1906750</v>
      </c>
      <c r="Z63" s="12"/>
      <c r="AA63" s="12">
        <f>+Y63-Z63</f>
        <v>1906750</v>
      </c>
      <c r="AB63" s="12">
        <v>0.02</v>
      </c>
      <c r="AC63" s="12">
        <f>+AA63*AB63/100</f>
        <v>381.35</v>
      </c>
      <c r="AD63" s="42"/>
      <c r="AE63" s="12"/>
    </row>
    <row r="64" spans="1:31" s="46" customFormat="1" ht="21">
      <c r="A64" s="42"/>
      <c r="B64" s="42"/>
      <c r="C64" s="45"/>
      <c r="D64" s="31"/>
      <c r="E64" s="31"/>
      <c r="F64" s="47"/>
      <c r="G64" s="42"/>
      <c r="H64" s="42"/>
      <c r="I64" s="44"/>
      <c r="J64" s="44">
        <f t="shared" si="19"/>
        <v>0</v>
      </c>
      <c r="K64" s="42"/>
      <c r="L64" s="42">
        <f t="shared" si="17"/>
        <v>0</v>
      </c>
      <c r="M64" s="42"/>
      <c r="N64" s="42"/>
      <c r="O64" s="101"/>
      <c r="P64" s="45"/>
      <c r="Q64" s="42"/>
      <c r="R64" s="42"/>
      <c r="S64" s="42"/>
      <c r="T64" s="12">
        <f t="shared" si="20"/>
        <v>0</v>
      </c>
      <c r="U64" s="45"/>
      <c r="V64" s="12">
        <f t="shared" si="21"/>
        <v>0</v>
      </c>
      <c r="W64" s="12">
        <f t="shared" si="22"/>
        <v>0</v>
      </c>
      <c r="X64" s="12"/>
      <c r="Y64" s="12">
        <f t="shared" si="18"/>
        <v>0</v>
      </c>
      <c r="Z64" s="12"/>
      <c r="AA64" s="12">
        <f t="shared" si="23"/>
        <v>0</v>
      </c>
      <c r="AB64" s="12"/>
      <c r="AC64" s="12">
        <f t="shared" si="24"/>
        <v>0</v>
      </c>
      <c r="AD64" s="42"/>
      <c r="AE64" s="12"/>
    </row>
    <row r="65" spans="1:31" s="46" customFormat="1" ht="21">
      <c r="A65" s="42"/>
      <c r="B65" s="42"/>
      <c r="C65" s="45"/>
      <c r="D65" s="31"/>
      <c r="E65" s="31"/>
      <c r="F65" s="47"/>
      <c r="G65" s="42"/>
      <c r="H65" s="42"/>
      <c r="I65" s="44"/>
      <c r="J65" s="44">
        <f t="shared" si="19"/>
        <v>0</v>
      </c>
      <c r="K65" s="42"/>
      <c r="L65" s="42">
        <f t="shared" si="17"/>
        <v>0</v>
      </c>
      <c r="M65" s="42"/>
      <c r="N65" s="42"/>
      <c r="O65" s="101"/>
      <c r="P65" s="45"/>
      <c r="Q65" s="42"/>
      <c r="R65" s="42"/>
      <c r="S65" s="42"/>
      <c r="T65" s="12">
        <f t="shared" si="20"/>
        <v>0</v>
      </c>
      <c r="U65" s="45"/>
      <c r="V65" s="12">
        <f t="shared" si="21"/>
        <v>0</v>
      </c>
      <c r="W65" s="12">
        <f t="shared" si="22"/>
        <v>0</v>
      </c>
      <c r="X65" s="12"/>
      <c r="Y65" s="12">
        <f t="shared" si="18"/>
        <v>0</v>
      </c>
      <c r="Z65" s="12"/>
      <c r="AA65" s="12">
        <f t="shared" si="23"/>
        <v>0</v>
      </c>
      <c r="AB65" s="12"/>
      <c r="AC65" s="12">
        <f t="shared" si="24"/>
        <v>0</v>
      </c>
      <c r="AD65" s="42"/>
      <c r="AE65" s="12"/>
    </row>
    <row r="66" spans="1:31" s="46" customFormat="1" ht="21">
      <c r="A66" s="42" t="s">
        <v>0</v>
      </c>
      <c r="B66" s="42" t="s">
        <v>1</v>
      </c>
      <c r="C66" s="45" t="s">
        <v>1299</v>
      </c>
      <c r="D66" s="45" t="s">
        <v>136</v>
      </c>
      <c r="E66" s="29" t="s">
        <v>907</v>
      </c>
      <c r="F66" s="47" t="s">
        <v>137</v>
      </c>
      <c r="G66" s="42"/>
      <c r="H66" s="42"/>
      <c r="I66" s="44">
        <v>34.9</v>
      </c>
      <c r="J66" s="44">
        <f>+I66+(H66*100)+(G66*400)</f>
        <v>34.9</v>
      </c>
      <c r="K66" s="42">
        <v>50000</v>
      </c>
      <c r="L66" s="42">
        <f t="shared" si="17"/>
        <v>1745000</v>
      </c>
      <c r="M66" s="42">
        <v>1</v>
      </c>
      <c r="N66" s="42" t="s">
        <v>61</v>
      </c>
      <c r="O66" s="101" t="s">
        <v>446</v>
      </c>
      <c r="P66" s="45">
        <v>2</v>
      </c>
      <c r="Q66" s="100">
        <v>110</v>
      </c>
      <c r="R66" s="100">
        <v>68.96</v>
      </c>
      <c r="S66" s="42">
        <v>6650</v>
      </c>
      <c r="T66" s="12">
        <f>+Q66*S66</f>
        <v>731500</v>
      </c>
      <c r="U66" s="102" t="s">
        <v>76</v>
      </c>
      <c r="V66" s="12">
        <f>+T66*0.14</f>
        <v>102410.00000000001</v>
      </c>
      <c r="W66" s="12">
        <f>+T66-V66</f>
        <v>629090</v>
      </c>
      <c r="X66" s="116"/>
      <c r="Y66" s="117">
        <f>+L66*(R66/100)+W66</f>
        <v>1832442</v>
      </c>
      <c r="Z66" s="12"/>
      <c r="AA66" s="12">
        <f>+Y66-Z66</f>
        <v>1832442</v>
      </c>
      <c r="AB66" s="12">
        <v>0.02</v>
      </c>
      <c r="AC66" s="12">
        <f>+AA66*AB66/100</f>
        <v>366.4884</v>
      </c>
      <c r="AD66" s="42"/>
      <c r="AE66" s="12"/>
    </row>
    <row r="67" spans="1:31" s="46" customFormat="1" ht="21">
      <c r="A67" s="42" t="s">
        <v>0</v>
      </c>
      <c r="B67" s="42"/>
      <c r="C67" s="45"/>
      <c r="D67" s="45"/>
      <c r="E67" s="31"/>
      <c r="F67" s="47"/>
      <c r="G67" s="42"/>
      <c r="H67" s="42"/>
      <c r="I67" s="44"/>
      <c r="J67" s="44">
        <f>+I67+(H67*100)+(G67*400)</f>
        <v>0</v>
      </c>
      <c r="K67" s="42"/>
      <c r="L67" s="42">
        <f t="shared" si="17"/>
        <v>0</v>
      </c>
      <c r="M67" s="42">
        <v>2</v>
      </c>
      <c r="N67" s="42" t="s">
        <v>61</v>
      </c>
      <c r="O67" s="101" t="s">
        <v>446</v>
      </c>
      <c r="P67" s="45">
        <v>2</v>
      </c>
      <c r="Q67" s="100">
        <v>49.5</v>
      </c>
      <c r="R67" s="100">
        <v>31.04</v>
      </c>
      <c r="S67" s="42">
        <v>6650</v>
      </c>
      <c r="T67" s="12">
        <f>+Q67*S67</f>
        <v>329175</v>
      </c>
      <c r="U67" s="102" t="s">
        <v>76</v>
      </c>
      <c r="V67" s="12">
        <f>+T67*0.14</f>
        <v>46084.50000000001</v>
      </c>
      <c r="W67" s="12">
        <f>+T67-V67</f>
        <v>283090.5</v>
      </c>
      <c r="X67" s="116"/>
      <c r="Y67" s="117">
        <f>+L66*(R67/100)+W67</f>
        <v>824738.5</v>
      </c>
      <c r="Z67" s="12"/>
      <c r="AA67" s="12">
        <f>+Y67-Z67</f>
        <v>824738.5</v>
      </c>
      <c r="AB67" s="12">
        <v>0.02</v>
      </c>
      <c r="AC67" s="12">
        <f>+AA67*AB67/100</f>
        <v>164.9477</v>
      </c>
      <c r="AD67" s="42"/>
      <c r="AE67" s="12"/>
    </row>
    <row r="68" spans="1:31" s="46" customFormat="1" ht="21">
      <c r="A68" s="42"/>
      <c r="B68" s="42"/>
      <c r="C68" s="45"/>
      <c r="D68" s="31"/>
      <c r="E68" s="31"/>
      <c r="F68" s="47"/>
      <c r="G68" s="42"/>
      <c r="H68" s="42"/>
      <c r="I68" s="44"/>
      <c r="J68" s="44">
        <f>+I68+(H68*100)+(G68*400)</f>
        <v>0</v>
      </c>
      <c r="K68" s="42"/>
      <c r="L68" s="42">
        <f t="shared" si="17"/>
        <v>0</v>
      </c>
      <c r="M68" s="42"/>
      <c r="N68" s="42"/>
      <c r="O68" s="101"/>
      <c r="P68" s="45"/>
      <c r="Q68" s="42"/>
      <c r="R68" s="42"/>
      <c r="S68" s="42"/>
      <c r="T68" s="12">
        <f>+Q68*S68</f>
        <v>0</v>
      </c>
      <c r="U68" s="45"/>
      <c r="V68" s="12">
        <f>+T68*0</f>
        <v>0</v>
      </c>
      <c r="W68" s="12">
        <f>+T68-V68</f>
        <v>0</v>
      </c>
      <c r="X68" s="12"/>
      <c r="Y68" s="12">
        <f aca="true" t="shared" si="25" ref="Y68:Y107">+L68+W68</f>
        <v>0</v>
      </c>
      <c r="Z68" s="12"/>
      <c r="AA68" s="12">
        <f>+Y68-Z68</f>
        <v>0</v>
      </c>
      <c r="AB68" s="12"/>
      <c r="AC68" s="12">
        <f>+AA68*AB68/100</f>
        <v>0</v>
      </c>
      <c r="AD68" s="42"/>
      <c r="AE68" s="12"/>
    </row>
    <row r="69" spans="1:31" s="46" customFormat="1" ht="21">
      <c r="A69" s="42"/>
      <c r="B69" s="42"/>
      <c r="C69" s="45"/>
      <c r="D69" s="31"/>
      <c r="E69" s="31"/>
      <c r="F69" s="47"/>
      <c r="G69" s="42"/>
      <c r="H69" s="42"/>
      <c r="I69" s="44"/>
      <c r="J69" s="44">
        <f>+I69+(H69*100)+(G69*400)</f>
        <v>0</v>
      </c>
      <c r="K69" s="42"/>
      <c r="L69" s="42">
        <f t="shared" si="17"/>
        <v>0</v>
      </c>
      <c r="M69" s="42"/>
      <c r="N69" s="42"/>
      <c r="O69" s="101"/>
      <c r="P69" s="45"/>
      <c r="Q69" s="42"/>
      <c r="R69" s="42"/>
      <c r="S69" s="42"/>
      <c r="T69" s="12">
        <f>+Q69*S69</f>
        <v>0</v>
      </c>
      <c r="U69" s="45"/>
      <c r="V69" s="12">
        <f>+T69*0</f>
        <v>0</v>
      </c>
      <c r="W69" s="12">
        <f>+T69-V69</f>
        <v>0</v>
      </c>
      <c r="X69" s="12"/>
      <c r="Y69" s="12">
        <f t="shared" si="25"/>
        <v>0</v>
      </c>
      <c r="Z69" s="12"/>
      <c r="AA69" s="12">
        <f>+Y69-Z69</f>
        <v>0</v>
      </c>
      <c r="AB69" s="12"/>
      <c r="AC69" s="12">
        <f>+AA69*AB69/100</f>
        <v>0</v>
      </c>
      <c r="AD69" s="42"/>
      <c r="AE69" s="12"/>
    </row>
    <row r="70" spans="1:31" s="46" customFormat="1" ht="21">
      <c r="A70" s="42" t="s">
        <v>0</v>
      </c>
      <c r="B70" s="42" t="s">
        <v>1</v>
      </c>
      <c r="C70" s="45" t="s">
        <v>1300</v>
      </c>
      <c r="D70" s="45" t="s">
        <v>138</v>
      </c>
      <c r="E70" s="29" t="s">
        <v>907</v>
      </c>
      <c r="F70" s="47" t="s">
        <v>137</v>
      </c>
      <c r="G70" s="42"/>
      <c r="H70" s="42">
        <v>1</v>
      </c>
      <c r="I70" s="44">
        <v>61.9</v>
      </c>
      <c r="J70" s="44">
        <f aca="true" t="shared" si="26" ref="J70:J76">+I70+(H70*100)+(G70*400)</f>
        <v>161.9</v>
      </c>
      <c r="K70" s="42">
        <v>25000</v>
      </c>
      <c r="L70" s="42">
        <f aca="true" t="shared" si="27" ref="L70:L76">+K70*J70</f>
        <v>4047500</v>
      </c>
      <c r="M70" s="42">
        <v>1</v>
      </c>
      <c r="N70" s="42" t="s">
        <v>64</v>
      </c>
      <c r="O70" s="101" t="s">
        <v>446</v>
      </c>
      <c r="P70" s="45">
        <v>2</v>
      </c>
      <c r="Q70" s="100">
        <f>323+34</f>
        <v>357</v>
      </c>
      <c r="R70" s="100"/>
      <c r="S70" s="42">
        <v>6550</v>
      </c>
      <c r="T70" s="12">
        <f aca="true" t="shared" si="28" ref="T70:T76">+Q70*S70</f>
        <v>2338350</v>
      </c>
      <c r="U70" s="102" t="s">
        <v>93</v>
      </c>
      <c r="V70" s="12">
        <f>+T70*0.44</f>
        <v>1028874</v>
      </c>
      <c r="W70" s="12">
        <f aca="true" t="shared" si="29" ref="W70:W76">+T70-V70</f>
        <v>1309476</v>
      </c>
      <c r="X70" s="116"/>
      <c r="Y70" s="117">
        <f t="shared" si="25"/>
        <v>5356976</v>
      </c>
      <c r="Z70" s="12">
        <f>+Y70</f>
        <v>5356976</v>
      </c>
      <c r="AA70" s="12">
        <f aca="true" t="shared" si="30" ref="AA70:AA76">+Y70-Z70</f>
        <v>0</v>
      </c>
      <c r="AB70" s="12"/>
      <c r="AC70" s="12">
        <f aca="true" t="shared" si="31" ref="AC70:AC76">+AA70*AB70/100</f>
        <v>0</v>
      </c>
      <c r="AD70" s="42" t="s">
        <v>906</v>
      </c>
      <c r="AE70" s="12"/>
    </row>
    <row r="71" spans="1:31" s="46" customFormat="1" ht="21">
      <c r="A71" s="42" t="s">
        <v>0</v>
      </c>
      <c r="B71" s="42" t="s">
        <v>1</v>
      </c>
      <c r="C71" s="45" t="s">
        <v>1301</v>
      </c>
      <c r="D71" s="51" t="s">
        <v>139</v>
      </c>
      <c r="E71" s="29" t="s">
        <v>907</v>
      </c>
      <c r="F71" s="47" t="s">
        <v>140</v>
      </c>
      <c r="G71" s="42"/>
      <c r="H71" s="42"/>
      <c r="I71" s="44">
        <v>72.8</v>
      </c>
      <c r="J71" s="44">
        <f t="shared" si="26"/>
        <v>72.8</v>
      </c>
      <c r="K71" s="42">
        <v>15000</v>
      </c>
      <c r="L71" s="42">
        <f t="shared" si="27"/>
        <v>1092000</v>
      </c>
      <c r="M71" s="42"/>
      <c r="N71" s="42"/>
      <c r="O71" s="101"/>
      <c r="P71" s="45"/>
      <c r="Q71" s="42"/>
      <c r="R71" s="100"/>
      <c r="S71" s="42"/>
      <c r="T71" s="12">
        <f t="shared" si="28"/>
        <v>0</v>
      </c>
      <c r="U71" s="45"/>
      <c r="V71" s="12">
        <f aca="true" t="shared" si="32" ref="V71:V76">+T71*0</f>
        <v>0</v>
      </c>
      <c r="W71" s="12">
        <f t="shared" si="29"/>
        <v>0</v>
      </c>
      <c r="X71" s="116"/>
      <c r="Y71" s="117">
        <f t="shared" si="25"/>
        <v>1092000</v>
      </c>
      <c r="Z71" s="12"/>
      <c r="AA71" s="12">
        <f t="shared" si="30"/>
        <v>1092000</v>
      </c>
      <c r="AB71" s="12">
        <v>0.3</v>
      </c>
      <c r="AC71" s="12">
        <f t="shared" si="31"/>
        <v>3276</v>
      </c>
      <c r="AD71" s="42"/>
      <c r="AE71" s="12"/>
    </row>
    <row r="72" spans="1:31" s="46" customFormat="1" ht="21">
      <c r="A72" s="42"/>
      <c r="B72" s="42"/>
      <c r="C72" s="45"/>
      <c r="D72" s="31"/>
      <c r="E72" s="31"/>
      <c r="F72" s="47"/>
      <c r="G72" s="42"/>
      <c r="H72" s="42"/>
      <c r="I72" s="44"/>
      <c r="J72" s="44">
        <f t="shared" si="26"/>
        <v>0</v>
      </c>
      <c r="K72" s="42"/>
      <c r="L72" s="42">
        <f t="shared" si="27"/>
        <v>0</v>
      </c>
      <c r="M72" s="42"/>
      <c r="N72" s="42"/>
      <c r="O72" s="101"/>
      <c r="P72" s="45"/>
      <c r="Q72" s="42"/>
      <c r="R72" s="42"/>
      <c r="S72" s="42"/>
      <c r="T72" s="12">
        <f t="shared" si="28"/>
        <v>0</v>
      </c>
      <c r="U72" s="45"/>
      <c r="V72" s="12">
        <f t="shared" si="32"/>
        <v>0</v>
      </c>
      <c r="W72" s="12">
        <f t="shared" si="29"/>
        <v>0</v>
      </c>
      <c r="X72" s="12"/>
      <c r="Y72" s="12">
        <f t="shared" si="25"/>
        <v>0</v>
      </c>
      <c r="Z72" s="12"/>
      <c r="AA72" s="12">
        <f t="shared" si="30"/>
        <v>0</v>
      </c>
      <c r="AB72" s="12"/>
      <c r="AC72" s="12">
        <f t="shared" si="31"/>
        <v>0</v>
      </c>
      <c r="AD72" s="42"/>
      <c r="AE72" s="12"/>
    </row>
    <row r="73" spans="1:31" s="46" customFormat="1" ht="21">
      <c r="A73" s="42" t="s">
        <v>0</v>
      </c>
      <c r="B73" s="42" t="s">
        <v>1</v>
      </c>
      <c r="C73" s="45" t="s">
        <v>1302</v>
      </c>
      <c r="D73" s="51" t="s">
        <v>141</v>
      </c>
      <c r="E73" s="29" t="s">
        <v>907</v>
      </c>
      <c r="F73" s="47" t="s">
        <v>137</v>
      </c>
      <c r="G73" s="42"/>
      <c r="H73" s="42"/>
      <c r="I73" s="44">
        <v>56</v>
      </c>
      <c r="J73" s="44">
        <f>+I73+(H73*100)+(G73*400)</f>
        <v>56</v>
      </c>
      <c r="K73" s="42">
        <v>15000</v>
      </c>
      <c r="L73" s="42">
        <f t="shared" si="27"/>
        <v>840000</v>
      </c>
      <c r="M73" s="42"/>
      <c r="N73" s="42" t="s">
        <v>64</v>
      </c>
      <c r="O73" s="101" t="s">
        <v>446</v>
      </c>
      <c r="P73" s="45">
        <v>2</v>
      </c>
      <c r="Q73" s="100">
        <v>80</v>
      </c>
      <c r="R73" s="100"/>
      <c r="S73" s="42">
        <v>6550</v>
      </c>
      <c r="T73" s="12">
        <f>+Q73*S73</f>
        <v>524000</v>
      </c>
      <c r="U73" s="102" t="s">
        <v>81</v>
      </c>
      <c r="V73" s="12">
        <f>+T73*0.12</f>
        <v>62880</v>
      </c>
      <c r="W73" s="12">
        <f>+T73-V73</f>
        <v>461120</v>
      </c>
      <c r="X73" s="116"/>
      <c r="Y73" s="117">
        <f t="shared" si="25"/>
        <v>1301120</v>
      </c>
      <c r="Z73" s="12">
        <f>+Y73</f>
        <v>1301120</v>
      </c>
      <c r="AA73" s="12">
        <f>+Y73-Z73</f>
        <v>0</v>
      </c>
      <c r="AB73" s="12"/>
      <c r="AC73" s="12">
        <f>+AA73*AB73/100</f>
        <v>0</v>
      </c>
      <c r="AD73" s="42" t="s">
        <v>906</v>
      </c>
      <c r="AE73" s="12"/>
    </row>
    <row r="74" spans="1:31" s="46" customFormat="1" ht="21">
      <c r="A74" s="42" t="s">
        <v>0</v>
      </c>
      <c r="B74" s="42" t="s">
        <v>1</v>
      </c>
      <c r="C74" s="45" t="s">
        <v>1303</v>
      </c>
      <c r="D74" s="51" t="s">
        <v>142</v>
      </c>
      <c r="E74" s="10" t="s">
        <v>909</v>
      </c>
      <c r="F74" s="47" t="s">
        <v>143</v>
      </c>
      <c r="G74" s="42"/>
      <c r="H74" s="42"/>
      <c r="I74" s="44">
        <v>17</v>
      </c>
      <c r="J74" s="44">
        <f>+I74+(H74*100)+(G74*400)</f>
        <v>17</v>
      </c>
      <c r="K74" s="42">
        <v>21000</v>
      </c>
      <c r="L74" s="42">
        <f t="shared" si="27"/>
        <v>357000</v>
      </c>
      <c r="M74" s="42"/>
      <c r="N74" s="42" t="s">
        <v>60</v>
      </c>
      <c r="O74" s="101" t="s">
        <v>446</v>
      </c>
      <c r="P74" s="45">
        <v>3</v>
      </c>
      <c r="Q74" s="100">
        <v>180</v>
      </c>
      <c r="R74" s="100"/>
      <c r="S74" s="42">
        <v>7550</v>
      </c>
      <c r="T74" s="12">
        <f>+Q74*S74</f>
        <v>1359000</v>
      </c>
      <c r="U74" s="45" t="s">
        <v>144</v>
      </c>
      <c r="V74" s="12">
        <f>+T74*0.07</f>
        <v>95130.00000000001</v>
      </c>
      <c r="W74" s="12">
        <f>+T74-V74</f>
        <v>1263870</v>
      </c>
      <c r="X74" s="116"/>
      <c r="Y74" s="117">
        <f t="shared" si="25"/>
        <v>1620870</v>
      </c>
      <c r="Z74" s="12"/>
      <c r="AA74" s="12">
        <f>+Y74-Z74</f>
        <v>1620870</v>
      </c>
      <c r="AB74" s="12">
        <v>0.3</v>
      </c>
      <c r="AC74" s="12">
        <f>+AA74*AB74/100</f>
        <v>4862.61</v>
      </c>
      <c r="AD74" s="42"/>
      <c r="AE74" s="12"/>
    </row>
    <row r="75" spans="1:31" s="46" customFormat="1" ht="21">
      <c r="A75" s="42"/>
      <c r="B75" s="42"/>
      <c r="C75" s="45"/>
      <c r="D75" s="31"/>
      <c r="E75" s="31"/>
      <c r="F75" s="47"/>
      <c r="G75" s="42"/>
      <c r="H75" s="42"/>
      <c r="I75" s="44"/>
      <c r="J75" s="44">
        <f t="shared" si="26"/>
        <v>0</v>
      </c>
      <c r="K75" s="42"/>
      <c r="L75" s="42">
        <f t="shared" si="27"/>
        <v>0</v>
      </c>
      <c r="M75" s="42"/>
      <c r="N75" s="42"/>
      <c r="O75" s="101"/>
      <c r="P75" s="45"/>
      <c r="Q75" s="42"/>
      <c r="R75" s="42"/>
      <c r="S75" s="42"/>
      <c r="T75" s="12">
        <f t="shared" si="28"/>
        <v>0</v>
      </c>
      <c r="U75" s="45"/>
      <c r="V75" s="12">
        <f t="shared" si="32"/>
        <v>0</v>
      </c>
      <c r="W75" s="12">
        <f t="shared" si="29"/>
        <v>0</v>
      </c>
      <c r="X75" s="12"/>
      <c r="Y75" s="12">
        <f t="shared" si="25"/>
        <v>0</v>
      </c>
      <c r="Z75" s="12"/>
      <c r="AA75" s="12">
        <f t="shared" si="30"/>
        <v>0</v>
      </c>
      <c r="AB75" s="12"/>
      <c r="AC75" s="12">
        <f t="shared" si="31"/>
        <v>0</v>
      </c>
      <c r="AD75" s="42"/>
      <c r="AE75" s="12"/>
    </row>
    <row r="76" spans="1:31" s="46" customFormat="1" ht="21">
      <c r="A76" s="42"/>
      <c r="B76" s="42"/>
      <c r="C76" s="45"/>
      <c r="D76" s="31"/>
      <c r="E76" s="31"/>
      <c r="F76" s="47"/>
      <c r="G76" s="42"/>
      <c r="H76" s="42"/>
      <c r="I76" s="44"/>
      <c r="J76" s="44">
        <f t="shared" si="26"/>
        <v>0</v>
      </c>
      <c r="K76" s="42"/>
      <c r="L76" s="42">
        <f t="shared" si="27"/>
        <v>0</v>
      </c>
      <c r="M76" s="42"/>
      <c r="N76" s="42"/>
      <c r="O76" s="101"/>
      <c r="P76" s="45"/>
      <c r="Q76" s="42"/>
      <c r="R76" s="42"/>
      <c r="S76" s="42"/>
      <c r="T76" s="12">
        <f t="shared" si="28"/>
        <v>0</v>
      </c>
      <c r="U76" s="45"/>
      <c r="V76" s="12">
        <f t="shared" si="32"/>
        <v>0</v>
      </c>
      <c r="W76" s="12">
        <f t="shared" si="29"/>
        <v>0</v>
      </c>
      <c r="X76" s="12"/>
      <c r="Y76" s="12">
        <f t="shared" si="25"/>
        <v>0</v>
      </c>
      <c r="Z76" s="12"/>
      <c r="AA76" s="12">
        <f t="shared" si="30"/>
        <v>0</v>
      </c>
      <c r="AB76" s="12"/>
      <c r="AC76" s="12">
        <f t="shared" si="31"/>
        <v>0</v>
      </c>
      <c r="AD76" s="42"/>
      <c r="AE76" s="12"/>
    </row>
    <row r="77" spans="1:31" s="46" customFormat="1" ht="21">
      <c r="A77" s="42" t="s">
        <v>0</v>
      </c>
      <c r="B77" s="42" t="s">
        <v>1</v>
      </c>
      <c r="C77" s="45" t="s">
        <v>1304</v>
      </c>
      <c r="D77" s="45" t="s">
        <v>145</v>
      </c>
      <c r="E77" s="29" t="s">
        <v>907</v>
      </c>
      <c r="F77" s="47" t="s">
        <v>140</v>
      </c>
      <c r="G77" s="42"/>
      <c r="H77" s="42"/>
      <c r="I77" s="44">
        <v>46.4</v>
      </c>
      <c r="J77" s="44">
        <f>+I77+(H77*100)+(G77*400)</f>
        <v>46.4</v>
      </c>
      <c r="K77" s="42">
        <v>12000</v>
      </c>
      <c r="L77" s="42">
        <f>+K77*J77</f>
        <v>556800</v>
      </c>
      <c r="M77" s="42"/>
      <c r="N77" s="42"/>
      <c r="O77" s="101"/>
      <c r="P77" s="45"/>
      <c r="Q77" s="42"/>
      <c r="R77" s="100"/>
      <c r="S77" s="42"/>
      <c r="T77" s="12">
        <f>+Q77*S77</f>
        <v>0</v>
      </c>
      <c r="U77" s="45"/>
      <c r="V77" s="12">
        <f>+T77*0</f>
        <v>0</v>
      </c>
      <c r="W77" s="12">
        <f>+T77-V77</f>
        <v>0</v>
      </c>
      <c r="X77" s="116"/>
      <c r="Y77" s="117">
        <f t="shared" si="25"/>
        <v>556800</v>
      </c>
      <c r="Z77" s="12"/>
      <c r="AA77" s="12">
        <f>+Y77-Z77</f>
        <v>556800</v>
      </c>
      <c r="AB77" s="12">
        <v>0.3</v>
      </c>
      <c r="AC77" s="12">
        <f>+AA77*AB77/100</f>
        <v>1670.4</v>
      </c>
      <c r="AD77" s="42"/>
      <c r="AE77" s="12"/>
    </row>
    <row r="78" spans="1:31" s="46" customFormat="1" ht="21">
      <c r="A78" s="42" t="s">
        <v>0</v>
      </c>
      <c r="B78" s="42" t="s">
        <v>1</v>
      </c>
      <c r="C78" s="45" t="s">
        <v>621</v>
      </c>
      <c r="D78" s="45" t="s">
        <v>146</v>
      </c>
      <c r="E78" s="29" t="s">
        <v>907</v>
      </c>
      <c r="F78" s="47" t="s">
        <v>140</v>
      </c>
      <c r="G78" s="42"/>
      <c r="H78" s="42"/>
      <c r="I78" s="44">
        <v>69.3</v>
      </c>
      <c r="J78" s="44">
        <f>+I78+(H78*100)+(G78*400)</f>
        <v>69.3</v>
      </c>
      <c r="K78" s="42">
        <v>8000</v>
      </c>
      <c r="L78" s="42">
        <f>+K78*J78</f>
        <v>554400</v>
      </c>
      <c r="M78" s="42"/>
      <c r="N78" s="42"/>
      <c r="O78" s="101"/>
      <c r="P78" s="45"/>
      <c r="Q78" s="42"/>
      <c r="R78" s="100"/>
      <c r="S78" s="42"/>
      <c r="T78" s="12">
        <f>+Q78*S78</f>
        <v>0</v>
      </c>
      <c r="U78" s="45"/>
      <c r="V78" s="12">
        <f>+T78*0</f>
        <v>0</v>
      </c>
      <c r="W78" s="12">
        <f>+T78-V78</f>
        <v>0</v>
      </c>
      <c r="X78" s="116"/>
      <c r="Y78" s="117">
        <f t="shared" si="25"/>
        <v>554400</v>
      </c>
      <c r="Z78" s="12"/>
      <c r="AA78" s="12">
        <f>+Y78-Z78</f>
        <v>554400</v>
      </c>
      <c r="AB78" s="12">
        <v>0.3</v>
      </c>
      <c r="AC78" s="12">
        <f>+AA78*AB78/100</f>
        <v>1663.2</v>
      </c>
      <c r="AD78" s="42"/>
      <c r="AE78" s="12"/>
    </row>
    <row r="79" spans="1:31" s="46" customFormat="1" ht="21">
      <c r="A79" s="42" t="s">
        <v>0</v>
      </c>
      <c r="B79" s="42" t="s">
        <v>1</v>
      </c>
      <c r="C79" s="45" t="s">
        <v>1305</v>
      </c>
      <c r="D79" s="45" t="s">
        <v>147</v>
      </c>
      <c r="E79" s="29" t="s">
        <v>907</v>
      </c>
      <c r="F79" s="47" t="s">
        <v>140</v>
      </c>
      <c r="G79" s="42"/>
      <c r="H79" s="42"/>
      <c r="I79" s="44">
        <v>46.4</v>
      </c>
      <c r="J79" s="44">
        <f>+I79+(H79*100)+(G79*400)</f>
        <v>46.4</v>
      </c>
      <c r="K79" s="42">
        <v>12000</v>
      </c>
      <c r="L79" s="42">
        <f>+K79*J79</f>
        <v>556800</v>
      </c>
      <c r="M79" s="42"/>
      <c r="N79" s="42"/>
      <c r="O79" s="101"/>
      <c r="P79" s="45"/>
      <c r="Q79" s="42"/>
      <c r="R79" s="100"/>
      <c r="S79" s="42"/>
      <c r="T79" s="12">
        <f>+Q79*S79</f>
        <v>0</v>
      </c>
      <c r="U79" s="45"/>
      <c r="V79" s="12">
        <f>+T79*0</f>
        <v>0</v>
      </c>
      <c r="W79" s="12">
        <f>+T79-V79</f>
        <v>0</v>
      </c>
      <c r="X79" s="116"/>
      <c r="Y79" s="117">
        <f t="shared" si="25"/>
        <v>556800</v>
      </c>
      <c r="Z79" s="12"/>
      <c r="AA79" s="12">
        <f>+Y79-Z79</f>
        <v>556800</v>
      </c>
      <c r="AB79" s="12">
        <v>0.3</v>
      </c>
      <c r="AC79" s="12">
        <f>+AA79*AB79/100</f>
        <v>1670.4</v>
      </c>
      <c r="AD79" s="42"/>
      <c r="AE79" s="12"/>
    </row>
    <row r="80" spans="1:31" s="46" customFormat="1" ht="21">
      <c r="A80" s="42"/>
      <c r="B80" s="42"/>
      <c r="C80" s="45"/>
      <c r="D80" s="31"/>
      <c r="E80" s="31"/>
      <c r="F80" s="47"/>
      <c r="G80" s="42"/>
      <c r="H80" s="42"/>
      <c r="I80" s="44"/>
      <c r="J80" s="44">
        <f>+I80+(H80*100)+(G80*400)</f>
        <v>0</v>
      </c>
      <c r="K80" s="42"/>
      <c r="L80" s="42">
        <f>+K80*J80</f>
        <v>0</v>
      </c>
      <c r="M80" s="42"/>
      <c r="N80" s="42"/>
      <c r="O80" s="101"/>
      <c r="P80" s="45"/>
      <c r="Q80" s="42"/>
      <c r="R80" s="42"/>
      <c r="S80" s="42"/>
      <c r="T80" s="12">
        <f>+Q80*S80</f>
        <v>0</v>
      </c>
      <c r="U80" s="45"/>
      <c r="V80" s="12">
        <f>+T80*0</f>
        <v>0</v>
      </c>
      <c r="W80" s="12">
        <f>+T80-V80</f>
        <v>0</v>
      </c>
      <c r="X80" s="12"/>
      <c r="Y80" s="12">
        <f t="shared" si="25"/>
        <v>0</v>
      </c>
      <c r="Z80" s="12"/>
      <c r="AA80" s="12">
        <f>+Y80-Z80</f>
        <v>0</v>
      </c>
      <c r="AB80" s="12"/>
      <c r="AC80" s="12">
        <f>+AA80*AB80/100</f>
        <v>0</v>
      </c>
      <c r="AD80" s="42"/>
      <c r="AE80" s="12"/>
    </row>
    <row r="81" spans="1:31" s="46" customFormat="1" ht="21">
      <c r="A81" s="42"/>
      <c r="B81" s="42"/>
      <c r="C81" s="45"/>
      <c r="D81" s="31"/>
      <c r="E81" s="31"/>
      <c r="F81" s="47"/>
      <c r="G81" s="42"/>
      <c r="H81" s="42"/>
      <c r="I81" s="44"/>
      <c r="J81" s="44">
        <f>+I81+(H81*100)+(G81*400)</f>
        <v>0</v>
      </c>
      <c r="K81" s="42"/>
      <c r="L81" s="42">
        <f>+K81*J81</f>
        <v>0</v>
      </c>
      <c r="M81" s="42"/>
      <c r="N81" s="42"/>
      <c r="O81" s="101"/>
      <c r="P81" s="45"/>
      <c r="Q81" s="42"/>
      <c r="R81" s="42"/>
      <c r="S81" s="42"/>
      <c r="T81" s="12">
        <f>+Q81*S81</f>
        <v>0</v>
      </c>
      <c r="U81" s="45"/>
      <c r="V81" s="12">
        <f>+T81*0</f>
        <v>0</v>
      </c>
      <c r="W81" s="12">
        <f>+T81-V81</f>
        <v>0</v>
      </c>
      <c r="X81" s="12"/>
      <c r="Y81" s="12">
        <f t="shared" si="25"/>
        <v>0</v>
      </c>
      <c r="Z81" s="12"/>
      <c r="AA81" s="12">
        <f>+Y81-Z81</f>
        <v>0</v>
      </c>
      <c r="AB81" s="12"/>
      <c r="AC81" s="12">
        <f>+AA81*AB81/100</f>
        <v>0</v>
      </c>
      <c r="AD81" s="42"/>
      <c r="AE81" s="12"/>
    </row>
    <row r="82" spans="1:31" s="46" customFormat="1" ht="21">
      <c r="A82" s="42" t="s">
        <v>0</v>
      </c>
      <c r="B82" s="42" t="s">
        <v>1</v>
      </c>
      <c r="C82" s="45" t="s">
        <v>1306</v>
      </c>
      <c r="D82" s="51" t="s">
        <v>148</v>
      </c>
      <c r="E82" s="29" t="s">
        <v>907</v>
      </c>
      <c r="F82" s="47" t="s">
        <v>143</v>
      </c>
      <c r="G82" s="42"/>
      <c r="H82" s="42"/>
      <c r="I82" s="44">
        <v>25</v>
      </c>
      <c r="J82" s="44">
        <f aca="true" t="shared" si="33" ref="J82:J87">+I82+(H82*100)+(G82*400)</f>
        <v>25</v>
      </c>
      <c r="K82" s="42">
        <v>15000</v>
      </c>
      <c r="L82" s="42">
        <f aca="true" t="shared" si="34" ref="L82:L113">+K82*J82</f>
        <v>375000</v>
      </c>
      <c r="M82" s="42"/>
      <c r="N82" s="42" t="s">
        <v>62</v>
      </c>
      <c r="O82" s="101" t="s">
        <v>446</v>
      </c>
      <c r="P82" s="45">
        <v>3</v>
      </c>
      <c r="Q82" s="100">
        <v>128</v>
      </c>
      <c r="R82" s="100"/>
      <c r="S82" s="42">
        <v>6750</v>
      </c>
      <c r="T82" s="12">
        <f aca="true" t="shared" si="35" ref="T82:T87">+Q82*S82</f>
        <v>864000</v>
      </c>
      <c r="U82" s="45" t="s">
        <v>150</v>
      </c>
      <c r="V82" s="12">
        <f>+T82*0.04</f>
        <v>34560</v>
      </c>
      <c r="W82" s="12">
        <f aca="true" t="shared" si="36" ref="W82:W87">+T82-V82</f>
        <v>829440</v>
      </c>
      <c r="X82" s="116"/>
      <c r="Y82" s="117">
        <f t="shared" si="25"/>
        <v>1204440</v>
      </c>
      <c r="Z82" s="12"/>
      <c r="AA82" s="12">
        <f aca="true" t="shared" si="37" ref="AA82:AA87">+Y82-Z82</f>
        <v>1204440</v>
      </c>
      <c r="AB82" s="12">
        <v>0.3</v>
      </c>
      <c r="AC82" s="12">
        <f aca="true" t="shared" si="38" ref="AC82:AC87">+AA82*AB82/100</f>
        <v>3613.32</v>
      </c>
      <c r="AD82" s="42"/>
      <c r="AE82" s="12"/>
    </row>
    <row r="83" spans="1:31" s="46" customFormat="1" ht="21">
      <c r="A83" s="42" t="s">
        <v>0</v>
      </c>
      <c r="B83" s="42" t="s">
        <v>1</v>
      </c>
      <c r="C83" s="45" t="s">
        <v>1307</v>
      </c>
      <c r="D83" s="51" t="s">
        <v>149</v>
      </c>
      <c r="E83" s="29" t="s">
        <v>907</v>
      </c>
      <c r="F83" s="47" t="s">
        <v>137</v>
      </c>
      <c r="G83" s="42"/>
      <c r="H83" s="42"/>
      <c r="I83" s="44">
        <v>24.9</v>
      </c>
      <c r="J83" s="44">
        <f t="shared" si="33"/>
        <v>24.9</v>
      </c>
      <c r="K83" s="42">
        <v>15000</v>
      </c>
      <c r="L83" s="42">
        <f t="shared" si="34"/>
        <v>373500</v>
      </c>
      <c r="M83" s="42"/>
      <c r="N83" s="42" t="s">
        <v>62</v>
      </c>
      <c r="O83" s="101" t="s">
        <v>446</v>
      </c>
      <c r="P83" s="45">
        <v>2</v>
      </c>
      <c r="Q83" s="100">
        <v>180</v>
      </c>
      <c r="R83" s="100"/>
      <c r="S83" s="42">
        <v>6750</v>
      </c>
      <c r="T83" s="12">
        <f t="shared" si="35"/>
        <v>1215000</v>
      </c>
      <c r="U83" s="102" t="s">
        <v>92</v>
      </c>
      <c r="V83" s="12">
        <f>+T83*0.42</f>
        <v>510300</v>
      </c>
      <c r="W83" s="12">
        <f t="shared" si="36"/>
        <v>704700</v>
      </c>
      <c r="X83" s="116"/>
      <c r="Y83" s="117">
        <f t="shared" si="25"/>
        <v>1078200</v>
      </c>
      <c r="Z83" s="12"/>
      <c r="AA83" s="12">
        <f t="shared" si="37"/>
        <v>1078200</v>
      </c>
      <c r="AB83" s="12">
        <v>0.02</v>
      </c>
      <c r="AC83" s="12">
        <f t="shared" si="38"/>
        <v>215.64</v>
      </c>
      <c r="AD83" s="42"/>
      <c r="AE83" s="12"/>
    </row>
    <row r="84" spans="1:31" s="46" customFormat="1" ht="21">
      <c r="A84" s="42"/>
      <c r="B84" s="42"/>
      <c r="C84" s="45"/>
      <c r="D84" s="31"/>
      <c r="E84" s="31"/>
      <c r="F84" s="47"/>
      <c r="G84" s="42"/>
      <c r="H84" s="42"/>
      <c r="I84" s="44"/>
      <c r="J84" s="44">
        <f t="shared" si="33"/>
        <v>0</v>
      </c>
      <c r="K84" s="42"/>
      <c r="L84" s="42">
        <f t="shared" si="34"/>
        <v>0</v>
      </c>
      <c r="M84" s="42"/>
      <c r="N84" s="42"/>
      <c r="O84" s="101"/>
      <c r="P84" s="45"/>
      <c r="Q84" s="42"/>
      <c r="R84" s="42"/>
      <c r="S84" s="42"/>
      <c r="T84" s="12">
        <f t="shared" si="35"/>
        <v>0</v>
      </c>
      <c r="U84" s="45"/>
      <c r="V84" s="12">
        <f>+T84*0</f>
        <v>0</v>
      </c>
      <c r="W84" s="12">
        <f t="shared" si="36"/>
        <v>0</v>
      </c>
      <c r="X84" s="12"/>
      <c r="Y84" s="12">
        <f t="shared" si="25"/>
        <v>0</v>
      </c>
      <c r="Z84" s="12"/>
      <c r="AA84" s="12">
        <f t="shared" si="37"/>
        <v>0</v>
      </c>
      <c r="AB84" s="12"/>
      <c r="AC84" s="12">
        <f t="shared" si="38"/>
        <v>0</v>
      </c>
      <c r="AD84" s="42"/>
      <c r="AE84" s="12"/>
    </row>
    <row r="85" spans="1:31" s="46" customFormat="1" ht="21">
      <c r="A85" s="42" t="s">
        <v>0</v>
      </c>
      <c r="B85" s="42" t="s">
        <v>152</v>
      </c>
      <c r="C85" s="45" t="s">
        <v>1308</v>
      </c>
      <c r="D85" s="51" t="s">
        <v>151</v>
      </c>
      <c r="E85" s="29" t="s">
        <v>907</v>
      </c>
      <c r="F85" s="47" t="s">
        <v>140</v>
      </c>
      <c r="G85" s="42"/>
      <c r="H85" s="42"/>
      <c r="I85" s="44">
        <v>50</v>
      </c>
      <c r="J85" s="44">
        <f>+I85+(H85*100)+(G85*400)</f>
        <v>50</v>
      </c>
      <c r="K85" s="42">
        <v>500</v>
      </c>
      <c r="L85" s="42">
        <f>+K85*J85</f>
        <v>25000</v>
      </c>
      <c r="M85" s="42"/>
      <c r="N85" s="42"/>
      <c r="O85" s="101"/>
      <c r="P85" s="45"/>
      <c r="Q85" s="42"/>
      <c r="R85" s="100"/>
      <c r="S85" s="42"/>
      <c r="T85" s="12">
        <f>+Q85*S85</f>
        <v>0</v>
      </c>
      <c r="U85" s="45"/>
      <c r="V85" s="12">
        <f>+T85*0</f>
        <v>0</v>
      </c>
      <c r="W85" s="12">
        <f>+T85-V85</f>
        <v>0</v>
      </c>
      <c r="X85" s="116"/>
      <c r="Y85" s="117">
        <f t="shared" si="25"/>
        <v>25000</v>
      </c>
      <c r="Z85" s="12"/>
      <c r="AA85" s="12">
        <f>+Y85-Z85</f>
        <v>25000</v>
      </c>
      <c r="AB85" s="12">
        <v>0.3</v>
      </c>
      <c r="AC85" s="12">
        <f>+AA85*AB85/100</f>
        <v>75</v>
      </c>
      <c r="AD85" s="42"/>
      <c r="AE85" s="12"/>
    </row>
    <row r="86" spans="1:31" s="46" customFormat="1" ht="21">
      <c r="A86" s="42"/>
      <c r="B86" s="42"/>
      <c r="C86" s="45"/>
      <c r="D86" s="31"/>
      <c r="E86" s="31"/>
      <c r="F86" s="47"/>
      <c r="G86" s="42"/>
      <c r="H86" s="42"/>
      <c r="I86" s="44"/>
      <c r="J86" s="44">
        <f t="shared" si="33"/>
        <v>0</v>
      </c>
      <c r="K86" s="42"/>
      <c r="L86" s="42">
        <f t="shared" si="34"/>
        <v>0</v>
      </c>
      <c r="M86" s="42"/>
      <c r="N86" s="42"/>
      <c r="O86" s="101"/>
      <c r="P86" s="45"/>
      <c r="Q86" s="42"/>
      <c r="R86" s="42"/>
      <c r="S86" s="42"/>
      <c r="T86" s="12">
        <f t="shared" si="35"/>
        <v>0</v>
      </c>
      <c r="U86" s="45"/>
      <c r="V86" s="12">
        <f>+T86*0</f>
        <v>0</v>
      </c>
      <c r="W86" s="12">
        <f t="shared" si="36"/>
        <v>0</v>
      </c>
      <c r="X86" s="12"/>
      <c r="Y86" s="12">
        <f t="shared" si="25"/>
        <v>0</v>
      </c>
      <c r="Z86" s="12"/>
      <c r="AA86" s="12">
        <f t="shared" si="37"/>
        <v>0</v>
      </c>
      <c r="AB86" s="12"/>
      <c r="AC86" s="12">
        <f t="shared" si="38"/>
        <v>0</v>
      </c>
      <c r="AD86" s="42"/>
      <c r="AE86" s="12"/>
    </row>
    <row r="87" spans="1:31" s="46" customFormat="1" ht="21">
      <c r="A87" s="42"/>
      <c r="B87" s="42"/>
      <c r="C87" s="45"/>
      <c r="D87" s="31"/>
      <c r="E87" s="31"/>
      <c r="F87" s="47"/>
      <c r="G87" s="42"/>
      <c r="H87" s="42"/>
      <c r="I87" s="44"/>
      <c r="J87" s="44">
        <f t="shared" si="33"/>
        <v>0</v>
      </c>
      <c r="K87" s="42"/>
      <c r="L87" s="42">
        <f t="shared" si="34"/>
        <v>0</v>
      </c>
      <c r="M87" s="42"/>
      <c r="N87" s="42"/>
      <c r="O87" s="101"/>
      <c r="P87" s="45"/>
      <c r="Q87" s="42"/>
      <c r="R87" s="42"/>
      <c r="S87" s="42"/>
      <c r="T87" s="12">
        <f t="shared" si="35"/>
        <v>0</v>
      </c>
      <c r="U87" s="45"/>
      <c r="V87" s="12">
        <f>+T87*0</f>
        <v>0</v>
      </c>
      <c r="W87" s="12">
        <f t="shared" si="36"/>
        <v>0</v>
      </c>
      <c r="X87" s="12"/>
      <c r="Y87" s="12">
        <f t="shared" si="25"/>
        <v>0</v>
      </c>
      <c r="Z87" s="12"/>
      <c r="AA87" s="12">
        <f t="shared" si="37"/>
        <v>0</v>
      </c>
      <c r="AB87" s="12"/>
      <c r="AC87" s="12">
        <f t="shared" si="38"/>
        <v>0</v>
      </c>
      <c r="AD87" s="42"/>
      <c r="AE87" s="12"/>
    </row>
    <row r="88" spans="1:31" s="46" customFormat="1" ht="21">
      <c r="A88" s="42" t="s">
        <v>0</v>
      </c>
      <c r="B88" s="42" t="s">
        <v>1</v>
      </c>
      <c r="C88" s="45" t="s">
        <v>1309</v>
      </c>
      <c r="D88" s="51" t="s">
        <v>153</v>
      </c>
      <c r="E88" s="29" t="s">
        <v>907</v>
      </c>
      <c r="F88" s="47" t="s">
        <v>137</v>
      </c>
      <c r="G88" s="42"/>
      <c r="H88" s="42"/>
      <c r="I88" s="44">
        <v>24.1</v>
      </c>
      <c r="J88" s="44">
        <f aca="true" t="shared" si="39" ref="J88:J97">+I88+(H88*100)+(G88*400)</f>
        <v>24.1</v>
      </c>
      <c r="K88" s="42">
        <v>10000</v>
      </c>
      <c r="L88" s="42">
        <f t="shared" si="34"/>
        <v>241000</v>
      </c>
      <c r="M88" s="42"/>
      <c r="N88" s="42" t="s">
        <v>62</v>
      </c>
      <c r="O88" s="101" t="s">
        <v>446</v>
      </c>
      <c r="P88" s="45">
        <v>2</v>
      </c>
      <c r="Q88" s="100">
        <v>63</v>
      </c>
      <c r="R88" s="100"/>
      <c r="S88" s="42">
        <v>6750</v>
      </c>
      <c r="T88" s="12">
        <f aca="true" t="shared" si="40" ref="T88:T97">+Q88*S88</f>
        <v>425250</v>
      </c>
      <c r="U88" s="102" t="s">
        <v>93</v>
      </c>
      <c r="V88" s="12">
        <f>+T88*0.44</f>
        <v>187110</v>
      </c>
      <c r="W88" s="12">
        <f aca="true" t="shared" si="41" ref="W88:W97">+T88-V88</f>
        <v>238140</v>
      </c>
      <c r="X88" s="116"/>
      <c r="Y88" s="117">
        <f t="shared" si="25"/>
        <v>479140</v>
      </c>
      <c r="Z88" s="12"/>
      <c r="AA88" s="12">
        <f aca="true" t="shared" si="42" ref="AA88:AA97">+Y88-Z88</f>
        <v>479140</v>
      </c>
      <c r="AB88" s="12">
        <v>0.02</v>
      </c>
      <c r="AC88" s="12">
        <f aca="true" t="shared" si="43" ref="AC88:AC97">+AA88*AB88/100</f>
        <v>95.82800000000002</v>
      </c>
      <c r="AD88" s="42"/>
      <c r="AE88" s="12"/>
    </row>
    <row r="89" spans="1:31" s="46" customFormat="1" ht="21">
      <c r="A89" s="42" t="s">
        <v>0</v>
      </c>
      <c r="B89" s="42" t="s">
        <v>1</v>
      </c>
      <c r="C89" s="45" t="s">
        <v>1310</v>
      </c>
      <c r="D89" s="51" t="s">
        <v>154</v>
      </c>
      <c r="E89" s="29" t="s">
        <v>907</v>
      </c>
      <c r="F89" s="47" t="s">
        <v>137</v>
      </c>
      <c r="G89" s="42"/>
      <c r="H89" s="42"/>
      <c r="I89" s="44">
        <v>18</v>
      </c>
      <c r="J89" s="44">
        <f t="shared" si="39"/>
        <v>18</v>
      </c>
      <c r="K89" s="42">
        <v>15000</v>
      </c>
      <c r="L89" s="42">
        <f t="shared" si="34"/>
        <v>270000</v>
      </c>
      <c r="M89" s="42"/>
      <c r="N89" s="42" t="s">
        <v>62</v>
      </c>
      <c r="O89" s="101" t="s">
        <v>446</v>
      </c>
      <c r="P89" s="45">
        <v>2</v>
      </c>
      <c r="Q89" s="100">
        <v>80</v>
      </c>
      <c r="R89" s="100"/>
      <c r="S89" s="42">
        <v>6750</v>
      </c>
      <c r="T89" s="12">
        <f t="shared" si="40"/>
        <v>540000</v>
      </c>
      <c r="U89" s="102" t="s">
        <v>85</v>
      </c>
      <c r="V89" s="12">
        <f>+T89*0.22</f>
        <v>118800</v>
      </c>
      <c r="W89" s="12">
        <f t="shared" si="41"/>
        <v>421200</v>
      </c>
      <c r="X89" s="116"/>
      <c r="Y89" s="117">
        <f t="shared" si="25"/>
        <v>691200</v>
      </c>
      <c r="Z89" s="12">
        <f>+Y89</f>
        <v>691200</v>
      </c>
      <c r="AA89" s="12">
        <f t="shared" si="42"/>
        <v>0</v>
      </c>
      <c r="AB89" s="12"/>
      <c r="AC89" s="12">
        <f t="shared" si="43"/>
        <v>0</v>
      </c>
      <c r="AD89" s="42" t="s">
        <v>906</v>
      </c>
      <c r="AE89" s="12"/>
    </row>
    <row r="90" spans="1:31" s="46" customFormat="1" ht="21">
      <c r="A90" s="42"/>
      <c r="B90" s="42"/>
      <c r="C90" s="45"/>
      <c r="D90" s="31"/>
      <c r="E90" s="31"/>
      <c r="F90" s="47"/>
      <c r="G90" s="42"/>
      <c r="H90" s="42"/>
      <c r="I90" s="44"/>
      <c r="J90" s="44">
        <f t="shared" si="39"/>
        <v>0</v>
      </c>
      <c r="K90" s="42"/>
      <c r="L90" s="42">
        <f t="shared" si="34"/>
        <v>0</v>
      </c>
      <c r="M90" s="42"/>
      <c r="N90" s="42"/>
      <c r="O90" s="101"/>
      <c r="P90" s="45"/>
      <c r="Q90" s="42"/>
      <c r="R90" s="42"/>
      <c r="S90" s="42"/>
      <c r="T90" s="12">
        <f t="shared" si="40"/>
        <v>0</v>
      </c>
      <c r="U90" s="45"/>
      <c r="V90" s="12">
        <f>+T90*0</f>
        <v>0</v>
      </c>
      <c r="W90" s="12">
        <f t="shared" si="41"/>
        <v>0</v>
      </c>
      <c r="X90" s="12"/>
      <c r="Y90" s="12">
        <f t="shared" si="25"/>
        <v>0</v>
      </c>
      <c r="Z90" s="12"/>
      <c r="AA90" s="12">
        <f t="shared" si="42"/>
        <v>0</v>
      </c>
      <c r="AB90" s="12"/>
      <c r="AC90" s="12">
        <f t="shared" si="43"/>
        <v>0</v>
      </c>
      <c r="AD90" s="42"/>
      <c r="AE90" s="12"/>
    </row>
    <row r="91" spans="1:31" s="46" customFormat="1" ht="21">
      <c r="A91" s="42" t="s">
        <v>0</v>
      </c>
      <c r="B91" s="42" t="s">
        <v>1</v>
      </c>
      <c r="C91" s="45" t="s">
        <v>1311</v>
      </c>
      <c r="D91" s="51" t="s">
        <v>155</v>
      </c>
      <c r="E91" s="29" t="s">
        <v>907</v>
      </c>
      <c r="F91" s="47" t="s">
        <v>140</v>
      </c>
      <c r="G91" s="42"/>
      <c r="H91" s="42"/>
      <c r="I91" s="44">
        <v>50.1</v>
      </c>
      <c r="J91" s="44">
        <f t="shared" si="39"/>
        <v>50.1</v>
      </c>
      <c r="K91" s="42">
        <v>6000</v>
      </c>
      <c r="L91" s="42">
        <f t="shared" si="34"/>
        <v>300600</v>
      </c>
      <c r="M91" s="42"/>
      <c r="N91" s="42"/>
      <c r="O91" s="101"/>
      <c r="P91" s="45"/>
      <c r="Q91" s="42"/>
      <c r="R91" s="100"/>
      <c r="S91" s="42"/>
      <c r="T91" s="12">
        <f t="shared" si="40"/>
        <v>0</v>
      </c>
      <c r="U91" s="45"/>
      <c r="V91" s="12">
        <f>+T91*0</f>
        <v>0</v>
      </c>
      <c r="W91" s="12">
        <f t="shared" si="41"/>
        <v>0</v>
      </c>
      <c r="X91" s="116"/>
      <c r="Y91" s="117">
        <f t="shared" si="25"/>
        <v>300600</v>
      </c>
      <c r="Z91" s="12"/>
      <c r="AA91" s="12">
        <f t="shared" si="42"/>
        <v>300600</v>
      </c>
      <c r="AB91" s="12">
        <v>0.3</v>
      </c>
      <c r="AC91" s="12">
        <f t="shared" si="43"/>
        <v>901.8</v>
      </c>
      <c r="AD91" s="42"/>
      <c r="AE91" s="12"/>
    </row>
    <row r="92" spans="1:31" s="46" customFormat="1" ht="21">
      <c r="A92" s="42" t="s">
        <v>0</v>
      </c>
      <c r="B92" s="42" t="s">
        <v>1</v>
      </c>
      <c r="C92" s="45" t="s">
        <v>1312</v>
      </c>
      <c r="D92" s="45" t="s">
        <v>156</v>
      </c>
      <c r="E92" s="29" t="s">
        <v>907</v>
      </c>
      <c r="F92" s="47" t="s">
        <v>137</v>
      </c>
      <c r="G92" s="42"/>
      <c r="H92" s="42"/>
      <c r="I92" s="44">
        <v>21.6</v>
      </c>
      <c r="J92" s="44">
        <f t="shared" si="39"/>
        <v>21.6</v>
      </c>
      <c r="K92" s="42">
        <v>15000</v>
      </c>
      <c r="L92" s="42">
        <f t="shared" si="34"/>
        <v>324000</v>
      </c>
      <c r="M92" s="42"/>
      <c r="N92" s="42" t="s">
        <v>62</v>
      </c>
      <c r="O92" s="101" t="s">
        <v>446</v>
      </c>
      <c r="P92" s="45">
        <v>2</v>
      </c>
      <c r="Q92" s="100">
        <v>128</v>
      </c>
      <c r="R92" s="100"/>
      <c r="S92" s="42">
        <v>6750</v>
      </c>
      <c r="T92" s="12">
        <f t="shared" si="40"/>
        <v>864000</v>
      </c>
      <c r="U92" s="102" t="s">
        <v>87</v>
      </c>
      <c r="V92" s="12">
        <f>+T92*0.28</f>
        <v>241920.00000000003</v>
      </c>
      <c r="W92" s="12">
        <f t="shared" si="41"/>
        <v>622080</v>
      </c>
      <c r="X92" s="116"/>
      <c r="Y92" s="117">
        <f t="shared" si="25"/>
        <v>946080</v>
      </c>
      <c r="Z92" s="12"/>
      <c r="AA92" s="12">
        <f t="shared" si="42"/>
        <v>946080</v>
      </c>
      <c r="AB92" s="12">
        <v>0.02</v>
      </c>
      <c r="AC92" s="12">
        <f t="shared" si="43"/>
        <v>189.216</v>
      </c>
      <c r="AD92" s="42"/>
      <c r="AE92" s="12"/>
    </row>
    <row r="93" spans="1:31" s="46" customFormat="1" ht="21">
      <c r="A93" s="42" t="s">
        <v>0</v>
      </c>
      <c r="B93" s="42" t="s">
        <v>1</v>
      </c>
      <c r="C93" s="45" t="s">
        <v>1313</v>
      </c>
      <c r="D93" s="45" t="s">
        <v>157</v>
      </c>
      <c r="E93" s="29" t="s">
        <v>907</v>
      </c>
      <c r="F93" s="47"/>
      <c r="G93" s="42"/>
      <c r="H93" s="42"/>
      <c r="I93" s="44">
        <v>41.2</v>
      </c>
      <c r="J93" s="44">
        <f t="shared" si="39"/>
        <v>41.2</v>
      </c>
      <c r="K93" s="42">
        <v>15000</v>
      </c>
      <c r="L93" s="42">
        <f t="shared" si="34"/>
        <v>618000</v>
      </c>
      <c r="M93" s="42"/>
      <c r="N93" s="42" t="s">
        <v>475</v>
      </c>
      <c r="O93" s="101"/>
      <c r="P93" s="45"/>
      <c r="Q93" s="42"/>
      <c r="R93" s="100"/>
      <c r="S93" s="42"/>
      <c r="T93" s="12">
        <f t="shared" si="40"/>
        <v>0</v>
      </c>
      <c r="U93" s="45"/>
      <c r="V93" s="12">
        <f>+T93*0</f>
        <v>0</v>
      </c>
      <c r="W93" s="12">
        <f t="shared" si="41"/>
        <v>0</v>
      </c>
      <c r="X93" s="116"/>
      <c r="Y93" s="117">
        <f t="shared" si="25"/>
        <v>618000</v>
      </c>
      <c r="Z93" s="12">
        <f>+Y93</f>
        <v>618000</v>
      </c>
      <c r="AA93" s="12">
        <f t="shared" si="42"/>
        <v>0</v>
      </c>
      <c r="AB93" s="12"/>
      <c r="AC93" s="12">
        <f t="shared" si="43"/>
        <v>0</v>
      </c>
      <c r="AD93" s="42"/>
      <c r="AE93" s="12"/>
    </row>
    <row r="94" spans="1:31" s="46" customFormat="1" ht="21">
      <c r="A94" s="42"/>
      <c r="B94" s="42"/>
      <c r="C94" s="45"/>
      <c r="D94" s="31"/>
      <c r="E94" s="31"/>
      <c r="F94" s="47"/>
      <c r="G94" s="42"/>
      <c r="H94" s="42"/>
      <c r="I94" s="44"/>
      <c r="J94" s="44">
        <f t="shared" si="39"/>
        <v>0</v>
      </c>
      <c r="K94" s="42"/>
      <c r="L94" s="42">
        <f t="shared" si="34"/>
        <v>0</v>
      </c>
      <c r="M94" s="42"/>
      <c r="N94" s="42"/>
      <c r="O94" s="101"/>
      <c r="P94" s="45"/>
      <c r="Q94" s="42"/>
      <c r="R94" s="42"/>
      <c r="S94" s="42"/>
      <c r="T94" s="12">
        <f t="shared" si="40"/>
        <v>0</v>
      </c>
      <c r="U94" s="45"/>
      <c r="V94" s="12">
        <f>+T94*0</f>
        <v>0</v>
      </c>
      <c r="W94" s="12">
        <f t="shared" si="41"/>
        <v>0</v>
      </c>
      <c r="X94" s="12"/>
      <c r="Y94" s="12">
        <f t="shared" si="25"/>
        <v>0</v>
      </c>
      <c r="Z94" s="12"/>
      <c r="AA94" s="12">
        <f t="shared" si="42"/>
        <v>0</v>
      </c>
      <c r="AB94" s="12"/>
      <c r="AC94" s="12">
        <f t="shared" si="43"/>
        <v>0</v>
      </c>
      <c r="AD94" s="42"/>
      <c r="AE94" s="12"/>
    </row>
    <row r="95" spans="1:31" s="46" customFormat="1" ht="21">
      <c r="A95" s="42" t="s">
        <v>0</v>
      </c>
      <c r="B95" s="42" t="s">
        <v>1</v>
      </c>
      <c r="C95" s="45" t="s">
        <v>1314</v>
      </c>
      <c r="D95" s="45" t="s">
        <v>158</v>
      </c>
      <c r="E95" s="29" t="s">
        <v>907</v>
      </c>
      <c r="F95" s="47" t="s">
        <v>137</v>
      </c>
      <c r="G95" s="42"/>
      <c r="H95" s="42"/>
      <c r="I95" s="44">
        <v>26.8</v>
      </c>
      <c r="J95" s="44">
        <f t="shared" si="39"/>
        <v>26.8</v>
      </c>
      <c r="K95" s="42">
        <v>20000</v>
      </c>
      <c r="L95" s="42">
        <f t="shared" si="34"/>
        <v>536000</v>
      </c>
      <c r="M95" s="42"/>
      <c r="N95" s="42" t="s">
        <v>159</v>
      </c>
      <c r="O95" s="101" t="s">
        <v>446</v>
      </c>
      <c r="P95" s="45">
        <v>2</v>
      </c>
      <c r="Q95" s="100">
        <f>25.6*3</f>
        <v>76.80000000000001</v>
      </c>
      <c r="R95" s="100"/>
      <c r="S95" s="42">
        <v>7550</v>
      </c>
      <c r="T95" s="12">
        <f t="shared" si="40"/>
        <v>579840.0000000001</v>
      </c>
      <c r="U95" s="102" t="s">
        <v>101</v>
      </c>
      <c r="V95" s="12">
        <f>+T95*0.62</f>
        <v>359500.80000000005</v>
      </c>
      <c r="W95" s="12">
        <f t="shared" si="41"/>
        <v>220339.20000000007</v>
      </c>
      <c r="X95" s="116"/>
      <c r="Y95" s="117">
        <f t="shared" si="25"/>
        <v>756339.2000000001</v>
      </c>
      <c r="Z95" s="12"/>
      <c r="AA95" s="12">
        <f t="shared" si="42"/>
        <v>756339.2000000001</v>
      </c>
      <c r="AB95" s="12">
        <v>0.02</v>
      </c>
      <c r="AC95" s="12">
        <f t="shared" si="43"/>
        <v>151.26784</v>
      </c>
      <c r="AD95" s="42"/>
      <c r="AE95" s="12"/>
    </row>
    <row r="96" spans="1:31" s="46" customFormat="1" ht="21">
      <c r="A96" s="42"/>
      <c r="B96" s="42"/>
      <c r="C96" s="45"/>
      <c r="D96" s="31"/>
      <c r="E96" s="31"/>
      <c r="F96" s="47"/>
      <c r="G96" s="42"/>
      <c r="H96" s="42"/>
      <c r="I96" s="44"/>
      <c r="J96" s="44">
        <f t="shared" si="39"/>
        <v>0</v>
      </c>
      <c r="K96" s="42"/>
      <c r="L96" s="42">
        <f t="shared" si="34"/>
        <v>0</v>
      </c>
      <c r="M96" s="42"/>
      <c r="N96" s="42"/>
      <c r="O96" s="101"/>
      <c r="P96" s="45"/>
      <c r="Q96" s="42"/>
      <c r="R96" s="42"/>
      <c r="S96" s="42"/>
      <c r="T96" s="12">
        <f t="shared" si="40"/>
        <v>0</v>
      </c>
      <c r="U96" s="45"/>
      <c r="V96" s="12">
        <f>+T96*0</f>
        <v>0</v>
      </c>
      <c r="W96" s="12">
        <f t="shared" si="41"/>
        <v>0</v>
      </c>
      <c r="X96" s="12"/>
      <c r="Y96" s="12">
        <f t="shared" si="25"/>
        <v>0</v>
      </c>
      <c r="Z96" s="12"/>
      <c r="AA96" s="12">
        <f t="shared" si="42"/>
        <v>0</v>
      </c>
      <c r="AB96" s="12"/>
      <c r="AC96" s="12">
        <f t="shared" si="43"/>
        <v>0</v>
      </c>
      <c r="AD96" s="42"/>
      <c r="AE96" s="12"/>
    </row>
    <row r="97" spans="1:31" s="46" customFormat="1" ht="21">
      <c r="A97" s="42"/>
      <c r="B97" s="42"/>
      <c r="C97" s="45"/>
      <c r="D97" s="31"/>
      <c r="E97" s="31"/>
      <c r="F97" s="47"/>
      <c r="G97" s="42"/>
      <c r="H97" s="42"/>
      <c r="I97" s="44"/>
      <c r="J97" s="44">
        <f t="shared" si="39"/>
        <v>0</v>
      </c>
      <c r="K97" s="42"/>
      <c r="L97" s="42">
        <f t="shared" si="34"/>
        <v>0</v>
      </c>
      <c r="M97" s="42"/>
      <c r="N97" s="42"/>
      <c r="O97" s="101"/>
      <c r="P97" s="45"/>
      <c r="Q97" s="42"/>
      <c r="R97" s="42"/>
      <c r="S97" s="42"/>
      <c r="T97" s="12">
        <f t="shared" si="40"/>
        <v>0</v>
      </c>
      <c r="U97" s="45"/>
      <c r="V97" s="12">
        <f>+T97*0</f>
        <v>0</v>
      </c>
      <c r="W97" s="12">
        <f t="shared" si="41"/>
        <v>0</v>
      </c>
      <c r="X97" s="12"/>
      <c r="Y97" s="12">
        <f t="shared" si="25"/>
        <v>0</v>
      </c>
      <c r="Z97" s="12"/>
      <c r="AA97" s="12">
        <f t="shared" si="42"/>
        <v>0</v>
      </c>
      <c r="AB97" s="12"/>
      <c r="AC97" s="12">
        <f t="shared" si="43"/>
        <v>0</v>
      </c>
      <c r="AD97" s="42"/>
      <c r="AE97" s="12"/>
    </row>
    <row r="98" spans="1:31" s="46" customFormat="1" ht="21">
      <c r="A98" s="42" t="s">
        <v>0</v>
      </c>
      <c r="B98" s="42" t="s">
        <v>1</v>
      </c>
      <c r="C98" s="45" t="s">
        <v>1315</v>
      </c>
      <c r="D98" s="45" t="s">
        <v>160</v>
      </c>
      <c r="E98" s="29" t="s">
        <v>907</v>
      </c>
      <c r="F98" s="47" t="s">
        <v>137</v>
      </c>
      <c r="G98" s="42"/>
      <c r="H98" s="42">
        <v>1</v>
      </c>
      <c r="I98" s="44">
        <v>28.7</v>
      </c>
      <c r="J98" s="44">
        <f aca="true" t="shared" si="44" ref="J98:J103">+I98+(H98*100)+(G98*400)</f>
        <v>128.7</v>
      </c>
      <c r="K98" s="42">
        <v>6000</v>
      </c>
      <c r="L98" s="42">
        <f t="shared" si="34"/>
        <v>772199.9999999999</v>
      </c>
      <c r="M98" s="42"/>
      <c r="N98" s="42"/>
      <c r="O98" s="101"/>
      <c r="P98" s="45">
        <v>2</v>
      </c>
      <c r="Q98" s="42"/>
      <c r="R98" s="100"/>
      <c r="S98" s="42"/>
      <c r="T98" s="12">
        <f aca="true" t="shared" si="45" ref="T98:T103">+Q98*S98</f>
        <v>0</v>
      </c>
      <c r="U98" s="45"/>
      <c r="V98" s="12">
        <f aca="true" t="shared" si="46" ref="V98:V103">+T98*0</f>
        <v>0</v>
      </c>
      <c r="W98" s="12">
        <f aca="true" t="shared" si="47" ref="W98:W103">+T98-V98</f>
        <v>0</v>
      </c>
      <c r="X98" s="116"/>
      <c r="Y98" s="117">
        <f t="shared" si="25"/>
        <v>772199.9999999999</v>
      </c>
      <c r="Z98" s="12"/>
      <c r="AA98" s="12">
        <f aca="true" t="shared" si="48" ref="AA98:AA103">+Y98-Z98</f>
        <v>772199.9999999999</v>
      </c>
      <c r="AB98" s="12">
        <v>0.02</v>
      </c>
      <c r="AC98" s="12">
        <f aca="true" t="shared" si="49" ref="AC98:AC103">+AA98*AB98/100</f>
        <v>154.43999999999997</v>
      </c>
      <c r="AD98" s="42"/>
      <c r="AE98" s="12"/>
    </row>
    <row r="99" spans="1:31" s="46" customFormat="1" ht="21">
      <c r="A99" s="42"/>
      <c r="B99" s="42"/>
      <c r="C99" s="45"/>
      <c r="D99" s="31"/>
      <c r="E99" s="31"/>
      <c r="F99" s="47"/>
      <c r="G99" s="42"/>
      <c r="H99" s="42"/>
      <c r="I99" s="44"/>
      <c r="J99" s="44">
        <f t="shared" si="44"/>
        <v>0</v>
      </c>
      <c r="K99" s="42"/>
      <c r="L99" s="42">
        <f t="shared" si="34"/>
        <v>0</v>
      </c>
      <c r="M99" s="42"/>
      <c r="N99" s="42"/>
      <c r="O99" s="101"/>
      <c r="P99" s="45"/>
      <c r="Q99" s="42"/>
      <c r="R99" s="42"/>
      <c r="S99" s="42"/>
      <c r="T99" s="12">
        <f t="shared" si="45"/>
        <v>0</v>
      </c>
      <c r="U99" s="45"/>
      <c r="V99" s="12">
        <f t="shared" si="46"/>
        <v>0</v>
      </c>
      <c r="W99" s="12">
        <f t="shared" si="47"/>
        <v>0</v>
      </c>
      <c r="X99" s="12"/>
      <c r="Y99" s="12">
        <f t="shared" si="25"/>
        <v>0</v>
      </c>
      <c r="Z99" s="12"/>
      <c r="AA99" s="12">
        <f t="shared" si="48"/>
        <v>0</v>
      </c>
      <c r="AB99" s="12"/>
      <c r="AC99" s="12">
        <f t="shared" si="49"/>
        <v>0</v>
      </c>
      <c r="AD99" s="42"/>
      <c r="AE99" s="12"/>
    </row>
    <row r="100" spans="1:31" s="46" customFormat="1" ht="21">
      <c r="A100" s="42"/>
      <c r="B100" s="42"/>
      <c r="C100" s="45"/>
      <c r="D100" s="31"/>
      <c r="E100" s="31"/>
      <c r="F100" s="47"/>
      <c r="G100" s="42"/>
      <c r="H100" s="42"/>
      <c r="I100" s="44"/>
      <c r="J100" s="44">
        <f t="shared" si="44"/>
        <v>0</v>
      </c>
      <c r="K100" s="42"/>
      <c r="L100" s="42">
        <f t="shared" si="34"/>
        <v>0</v>
      </c>
      <c r="M100" s="42"/>
      <c r="N100" s="42"/>
      <c r="O100" s="101"/>
      <c r="P100" s="45"/>
      <c r="Q100" s="42"/>
      <c r="R100" s="42"/>
      <c r="S100" s="42"/>
      <c r="T100" s="12">
        <f t="shared" si="45"/>
        <v>0</v>
      </c>
      <c r="U100" s="45"/>
      <c r="V100" s="12">
        <f t="shared" si="46"/>
        <v>0</v>
      </c>
      <c r="W100" s="12">
        <f t="shared" si="47"/>
        <v>0</v>
      </c>
      <c r="X100" s="12"/>
      <c r="Y100" s="12">
        <f t="shared" si="25"/>
        <v>0</v>
      </c>
      <c r="Z100" s="12"/>
      <c r="AA100" s="12">
        <f t="shared" si="48"/>
        <v>0</v>
      </c>
      <c r="AB100" s="12"/>
      <c r="AC100" s="12">
        <f t="shared" si="49"/>
        <v>0</v>
      </c>
      <c r="AD100" s="42"/>
      <c r="AE100" s="12"/>
    </row>
    <row r="101" spans="1:31" s="46" customFormat="1" ht="21">
      <c r="A101" s="42" t="s">
        <v>0</v>
      </c>
      <c r="B101" s="42" t="s">
        <v>1</v>
      </c>
      <c r="C101" s="45" t="s">
        <v>1316</v>
      </c>
      <c r="D101" s="45" t="s">
        <v>161</v>
      </c>
      <c r="E101" s="29" t="s">
        <v>907</v>
      </c>
      <c r="F101" s="47" t="s">
        <v>140</v>
      </c>
      <c r="G101" s="42"/>
      <c r="H101" s="42"/>
      <c r="I101" s="44">
        <v>35</v>
      </c>
      <c r="J101" s="44">
        <f>+I101+(H101*100)+(G101*400)</f>
        <v>35</v>
      </c>
      <c r="K101" s="42">
        <v>15000</v>
      </c>
      <c r="L101" s="42">
        <f>+K101*J101</f>
        <v>525000</v>
      </c>
      <c r="M101" s="42"/>
      <c r="N101" s="42"/>
      <c r="O101" s="101"/>
      <c r="P101" s="45"/>
      <c r="Q101" s="42"/>
      <c r="R101" s="100"/>
      <c r="S101" s="42"/>
      <c r="T101" s="12">
        <f>+Q101*S101</f>
        <v>0</v>
      </c>
      <c r="U101" s="45"/>
      <c r="V101" s="12">
        <f>+T101*0</f>
        <v>0</v>
      </c>
      <c r="W101" s="12">
        <f>+T101-V101</f>
        <v>0</v>
      </c>
      <c r="X101" s="116"/>
      <c r="Y101" s="117">
        <f t="shared" si="25"/>
        <v>525000</v>
      </c>
      <c r="Z101" s="12"/>
      <c r="AA101" s="12">
        <f>+Y101-Z101</f>
        <v>525000</v>
      </c>
      <c r="AB101" s="12">
        <v>0.3</v>
      </c>
      <c r="AC101" s="12">
        <f>+AA101*AB101/100</f>
        <v>1575</v>
      </c>
      <c r="AD101" s="42"/>
      <c r="AE101" s="12"/>
    </row>
    <row r="102" spans="1:31" s="46" customFormat="1" ht="21">
      <c r="A102" s="42"/>
      <c r="B102" s="42"/>
      <c r="C102" s="45"/>
      <c r="D102" s="31"/>
      <c r="E102" s="31"/>
      <c r="F102" s="47"/>
      <c r="G102" s="42"/>
      <c r="H102" s="42"/>
      <c r="I102" s="44"/>
      <c r="J102" s="44">
        <f t="shared" si="44"/>
        <v>0</v>
      </c>
      <c r="K102" s="42"/>
      <c r="L102" s="42">
        <f t="shared" si="34"/>
        <v>0</v>
      </c>
      <c r="M102" s="42"/>
      <c r="N102" s="42"/>
      <c r="O102" s="101"/>
      <c r="P102" s="45"/>
      <c r="Q102" s="42"/>
      <c r="R102" s="42"/>
      <c r="S102" s="42"/>
      <c r="T102" s="12">
        <f t="shared" si="45"/>
        <v>0</v>
      </c>
      <c r="U102" s="45"/>
      <c r="V102" s="12">
        <f t="shared" si="46"/>
        <v>0</v>
      </c>
      <c r="W102" s="12">
        <f t="shared" si="47"/>
        <v>0</v>
      </c>
      <c r="X102" s="12"/>
      <c r="Y102" s="12">
        <f t="shared" si="25"/>
        <v>0</v>
      </c>
      <c r="Z102" s="12"/>
      <c r="AA102" s="12">
        <f t="shared" si="48"/>
        <v>0</v>
      </c>
      <c r="AB102" s="12"/>
      <c r="AC102" s="12">
        <f t="shared" si="49"/>
        <v>0</v>
      </c>
      <c r="AD102" s="42"/>
      <c r="AE102" s="12"/>
    </row>
    <row r="103" spans="1:31" s="46" customFormat="1" ht="21">
      <c r="A103" s="42"/>
      <c r="B103" s="42"/>
      <c r="C103" s="45"/>
      <c r="D103" s="31"/>
      <c r="E103" s="31"/>
      <c r="F103" s="47"/>
      <c r="G103" s="42"/>
      <c r="H103" s="42"/>
      <c r="I103" s="44"/>
      <c r="J103" s="44">
        <f t="shared" si="44"/>
        <v>0</v>
      </c>
      <c r="K103" s="42"/>
      <c r="L103" s="42">
        <f t="shared" si="34"/>
        <v>0</v>
      </c>
      <c r="M103" s="42"/>
      <c r="N103" s="42"/>
      <c r="O103" s="101"/>
      <c r="P103" s="45"/>
      <c r="Q103" s="42"/>
      <c r="R103" s="42"/>
      <c r="S103" s="42"/>
      <c r="T103" s="12">
        <f t="shared" si="45"/>
        <v>0</v>
      </c>
      <c r="U103" s="45"/>
      <c r="V103" s="12">
        <f t="shared" si="46"/>
        <v>0</v>
      </c>
      <c r="W103" s="12">
        <f t="shared" si="47"/>
        <v>0</v>
      </c>
      <c r="X103" s="12"/>
      <c r="Y103" s="12">
        <f t="shared" si="25"/>
        <v>0</v>
      </c>
      <c r="Z103" s="12"/>
      <c r="AA103" s="12">
        <f t="shared" si="48"/>
        <v>0</v>
      </c>
      <c r="AB103" s="12"/>
      <c r="AC103" s="12">
        <f t="shared" si="49"/>
        <v>0</v>
      </c>
      <c r="AD103" s="42"/>
      <c r="AE103" s="12"/>
    </row>
    <row r="104" spans="1:31" s="46" customFormat="1" ht="21">
      <c r="A104" s="42" t="s">
        <v>0</v>
      </c>
      <c r="B104" s="42" t="s">
        <v>1</v>
      </c>
      <c r="C104" s="45" t="s">
        <v>1317</v>
      </c>
      <c r="D104" s="45" t="s">
        <v>162</v>
      </c>
      <c r="E104" s="29" t="s">
        <v>907</v>
      </c>
      <c r="F104" s="47" t="s">
        <v>177</v>
      </c>
      <c r="G104" s="42"/>
      <c r="H104" s="42">
        <v>2</v>
      </c>
      <c r="I104" s="44">
        <v>25.8</v>
      </c>
      <c r="J104" s="44">
        <f aca="true" t="shared" si="50" ref="J104:J113">+I104+(H104*100)+(G104*400)</f>
        <v>225.8</v>
      </c>
      <c r="K104" s="42">
        <v>8000</v>
      </c>
      <c r="L104" s="42">
        <f t="shared" si="34"/>
        <v>1806400</v>
      </c>
      <c r="M104" s="42"/>
      <c r="N104" s="42"/>
      <c r="O104" s="101"/>
      <c r="P104" s="45"/>
      <c r="Q104" s="100"/>
      <c r="R104" s="100"/>
      <c r="S104" s="42"/>
      <c r="T104" s="12">
        <f aca="true" t="shared" si="51" ref="T104:T113">+Q104*S104</f>
        <v>0</v>
      </c>
      <c r="U104" s="45"/>
      <c r="V104" s="12">
        <f>+T104*0</f>
        <v>0</v>
      </c>
      <c r="W104" s="12">
        <f aca="true" t="shared" si="52" ref="W104:W113">+T104-V104</f>
        <v>0</v>
      </c>
      <c r="X104" s="116"/>
      <c r="Y104" s="117">
        <f t="shared" si="25"/>
        <v>1806400</v>
      </c>
      <c r="Z104" s="12">
        <f>+Y104</f>
        <v>1806400</v>
      </c>
      <c r="AA104" s="12">
        <f aca="true" t="shared" si="53" ref="AA104:AA113">+Y104-Z104</f>
        <v>0</v>
      </c>
      <c r="AB104" s="12"/>
      <c r="AC104" s="12">
        <f aca="true" t="shared" si="54" ref="AC104:AC113">+AA104*AB104/100</f>
        <v>0</v>
      </c>
      <c r="AD104" s="42"/>
      <c r="AE104" s="12"/>
    </row>
    <row r="105" spans="1:31" s="46" customFormat="1" ht="21">
      <c r="A105" s="42" t="s">
        <v>0</v>
      </c>
      <c r="B105" s="42" t="s">
        <v>1</v>
      </c>
      <c r="C105" s="45" t="s">
        <v>1318</v>
      </c>
      <c r="D105" s="45" t="s">
        <v>163</v>
      </c>
      <c r="E105" s="29" t="s">
        <v>907</v>
      </c>
      <c r="F105" s="47" t="s">
        <v>177</v>
      </c>
      <c r="G105" s="42"/>
      <c r="H105" s="42">
        <v>1</v>
      </c>
      <c r="I105" s="44"/>
      <c r="J105" s="44">
        <f>+I105+(H105*100)+(G105*400)</f>
        <v>100</v>
      </c>
      <c r="K105" s="42">
        <v>6000</v>
      </c>
      <c r="L105" s="42">
        <f>+K105*J105</f>
        <v>600000</v>
      </c>
      <c r="M105" s="42"/>
      <c r="N105" s="42"/>
      <c r="O105" s="101"/>
      <c r="P105" s="45"/>
      <c r="Q105" s="42"/>
      <c r="R105" s="100"/>
      <c r="S105" s="42"/>
      <c r="T105" s="12">
        <f>+Q105*S105</f>
        <v>0</v>
      </c>
      <c r="U105" s="45"/>
      <c r="V105" s="12">
        <f>+T105*0</f>
        <v>0</v>
      </c>
      <c r="W105" s="12">
        <f>+T105-V105</f>
        <v>0</v>
      </c>
      <c r="X105" s="116"/>
      <c r="Y105" s="117">
        <f t="shared" si="25"/>
        <v>600000</v>
      </c>
      <c r="Z105" s="12">
        <f>+Y105</f>
        <v>600000</v>
      </c>
      <c r="AA105" s="12">
        <f>+Y105-Z105</f>
        <v>0</v>
      </c>
      <c r="AB105" s="12"/>
      <c r="AC105" s="12">
        <f>+AA105*AB105/100</f>
        <v>0</v>
      </c>
      <c r="AD105" s="42"/>
      <c r="AE105" s="12"/>
    </row>
    <row r="106" spans="1:31" s="46" customFormat="1" ht="21">
      <c r="A106" s="42" t="s">
        <v>0</v>
      </c>
      <c r="B106" s="42" t="s">
        <v>1</v>
      </c>
      <c r="C106" s="45" t="s">
        <v>1319</v>
      </c>
      <c r="D106" s="45" t="s">
        <v>164</v>
      </c>
      <c r="E106" s="29" t="s">
        <v>907</v>
      </c>
      <c r="F106" s="47" t="s">
        <v>137</v>
      </c>
      <c r="G106" s="42"/>
      <c r="H106" s="42">
        <v>1</v>
      </c>
      <c r="I106" s="44">
        <v>50</v>
      </c>
      <c r="J106" s="44">
        <f>+I106+(H106*100)+(G106*400)</f>
        <v>150</v>
      </c>
      <c r="K106" s="42">
        <v>6000</v>
      </c>
      <c r="L106" s="42">
        <f>+K106*J106</f>
        <v>900000</v>
      </c>
      <c r="M106" s="42"/>
      <c r="N106" s="42" t="s">
        <v>64</v>
      </c>
      <c r="O106" s="101" t="s">
        <v>446</v>
      </c>
      <c r="P106" s="45">
        <v>2</v>
      </c>
      <c r="Q106" s="100">
        <v>48</v>
      </c>
      <c r="R106" s="100"/>
      <c r="S106" s="42">
        <v>6550</v>
      </c>
      <c r="T106" s="12">
        <f>+Q106*S106</f>
        <v>314400</v>
      </c>
      <c r="U106" s="45" t="s">
        <v>144</v>
      </c>
      <c r="V106" s="12">
        <f>+T106*0.07</f>
        <v>22008.000000000004</v>
      </c>
      <c r="W106" s="12">
        <f>+T106-V106</f>
        <v>292392</v>
      </c>
      <c r="X106" s="116"/>
      <c r="Y106" s="117">
        <f t="shared" si="25"/>
        <v>1192392</v>
      </c>
      <c r="Z106" s="12">
        <f>+Y106</f>
        <v>1192392</v>
      </c>
      <c r="AA106" s="12">
        <f>+Y106-Z106</f>
        <v>0</v>
      </c>
      <c r="AB106" s="12"/>
      <c r="AC106" s="12">
        <f>+AA106*AB106/100</f>
        <v>0</v>
      </c>
      <c r="AD106" s="42" t="s">
        <v>906</v>
      </c>
      <c r="AE106" s="12"/>
    </row>
    <row r="107" spans="1:31" s="46" customFormat="1" ht="21">
      <c r="A107" s="42" t="s">
        <v>0</v>
      </c>
      <c r="B107" s="42" t="s">
        <v>1</v>
      </c>
      <c r="C107" s="45" t="s">
        <v>1320</v>
      </c>
      <c r="D107" s="45" t="s">
        <v>165</v>
      </c>
      <c r="E107" s="29" t="s">
        <v>907</v>
      </c>
      <c r="F107" s="47" t="s">
        <v>137</v>
      </c>
      <c r="G107" s="42"/>
      <c r="H107" s="42"/>
      <c r="I107" s="44">
        <v>61.4</v>
      </c>
      <c r="J107" s="44">
        <f>+I107+(H107*100)+(G107*400)</f>
        <v>61.4</v>
      </c>
      <c r="K107" s="42">
        <v>20000</v>
      </c>
      <c r="L107" s="42">
        <f>+K107*J107</f>
        <v>1228000</v>
      </c>
      <c r="M107" s="42"/>
      <c r="N107" s="42" t="s">
        <v>64</v>
      </c>
      <c r="O107" s="101" t="s">
        <v>446</v>
      </c>
      <c r="P107" s="45">
        <v>2</v>
      </c>
      <c r="Q107" s="100">
        <v>120</v>
      </c>
      <c r="R107" s="100"/>
      <c r="S107" s="42">
        <v>6550</v>
      </c>
      <c r="T107" s="12">
        <f>+Q107*S107</f>
        <v>786000</v>
      </c>
      <c r="U107" s="102" t="s">
        <v>97</v>
      </c>
      <c r="V107" s="12">
        <f>+T107*0.52</f>
        <v>408720</v>
      </c>
      <c r="W107" s="12">
        <f>+T107-V107</f>
        <v>377280</v>
      </c>
      <c r="X107" s="116"/>
      <c r="Y107" s="117">
        <f t="shared" si="25"/>
        <v>1605280</v>
      </c>
      <c r="Z107" s="12"/>
      <c r="AA107" s="12">
        <f>+Y107-Z107</f>
        <v>1605280</v>
      </c>
      <c r="AB107" s="12">
        <v>0.02</v>
      </c>
      <c r="AC107" s="12">
        <f>+AA107*AB107/100</f>
        <v>321.05600000000004</v>
      </c>
      <c r="AD107" s="42"/>
      <c r="AE107" s="12"/>
    </row>
    <row r="108" spans="1:31" s="46" customFormat="1" ht="21">
      <c r="A108" s="42" t="s">
        <v>0</v>
      </c>
      <c r="B108" s="42" t="s">
        <v>1</v>
      </c>
      <c r="C108" s="45" t="s">
        <v>1321</v>
      </c>
      <c r="D108" s="45" t="s">
        <v>166</v>
      </c>
      <c r="E108" s="29" t="s">
        <v>907</v>
      </c>
      <c r="F108" s="47" t="s">
        <v>167</v>
      </c>
      <c r="G108" s="42"/>
      <c r="H108" s="42"/>
      <c r="I108" s="44">
        <v>58.9</v>
      </c>
      <c r="J108" s="44">
        <f t="shared" si="50"/>
        <v>58.9</v>
      </c>
      <c r="K108" s="42">
        <v>12000</v>
      </c>
      <c r="L108" s="42">
        <f t="shared" si="34"/>
        <v>706800</v>
      </c>
      <c r="M108" s="42">
        <v>1</v>
      </c>
      <c r="N108" s="42" t="s">
        <v>61</v>
      </c>
      <c r="O108" s="101" t="s">
        <v>446</v>
      </c>
      <c r="P108" s="45">
        <v>2</v>
      </c>
      <c r="Q108" s="100">
        <v>30</v>
      </c>
      <c r="R108" s="100">
        <v>41.67</v>
      </c>
      <c r="S108" s="42">
        <v>6650</v>
      </c>
      <c r="T108" s="12">
        <f t="shared" si="51"/>
        <v>199500</v>
      </c>
      <c r="U108" s="102" t="s">
        <v>89</v>
      </c>
      <c r="V108" s="12">
        <f>+T108*0.34</f>
        <v>67830</v>
      </c>
      <c r="W108" s="12">
        <f t="shared" si="52"/>
        <v>131670</v>
      </c>
      <c r="X108" s="116"/>
      <c r="Y108" s="117">
        <f>+L108*(R108/100)+W108</f>
        <v>426193.56</v>
      </c>
      <c r="Z108" s="12"/>
      <c r="AA108" s="12">
        <f t="shared" si="53"/>
        <v>426193.56</v>
      </c>
      <c r="AB108" s="12">
        <v>0.02</v>
      </c>
      <c r="AC108" s="12">
        <f t="shared" si="54"/>
        <v>85.23871199999999</v>
      </c>
      <c r="AD108" s="42"/>
      <c r="AE108" s="12"/>
    </row>
    <row r="109" spans="1:31" s="46" customFormat="1" ht="21">
      <c r="A109" s="42" t="s">
        <v>0</v>
      </c>
      <c r="B109" s="42"/>
      <c r="C109" s="45"/>
      <c r="D109" s="45"/>
      <c r="E109" s="31"/>
      <c r="F109" s="47"/>
      <c r="G109" s="42"/>
      <c r="H109" s="42"/>
      <c r="I109" s="44"/>
      <c r="J109" s="44">
        <f t="shared" si="50"/>
        <v>0</v>
      </c>
      <c r="K109" s="42"/>
      <c r="L109" s="42">
        <f t="shared" si="34"/>
        <v>0</v>
      </c>
      <c r="M109" s="42">
        <v>2</v>
      </c>
      <c r="N109" s="42" t="s">
        <v>61</v>
      </c>
      <c r="O109" s="101" t="s">
        <v>446</v>
      </c>
      <c r="P109" s="45">
        <v>3</v>
      </c>
      <c r="Q109" s="100">
        <v>42</v>
      </c>
      <c r="R109" s="100">
        <v>58.33</v>
      </c>
      <c r="S109" s="42">
        <v>6650</v>
      </c>
      <c r="T109" s="12">
        <f t="shared" si="51"/>
        <v>279300</v>
      </c>
      <c r="U109" s="102" t="s">
        <v>89</v>
      </c>
      <c r="V109" s="12">
        <f>+T109*0.34</f>
        <v>94962</v>
      </c>
      <c r="W109" s="12">
        <f t="shared" si="52"/>
        <v>184338</v>
      </c>
      <c r="X109" s="116"/>
      <c r="Y109" s="117">
        <f>+L108*(R109/100)+W109</f>
        <v>596614.44</v>
      </c>
      <c r="Z109" s="12"/>
      <c r="AA109" s="12">
        <f t="shared" si="53"/>
        <v>596614.44</v>
      </c>
      <c r="AB109" s="12">
        <v>0.3</v>
      </c>
      <c r="AC109" s="12">
        <f t="shared" si="54"/>
        <v>1789.8433199999997</v>
      </c>
      <c r="AD109" s="42"/>
      <c r="AE109" s="12"/>
    </row>
    <row r="110" spans="1:31" s="46" customFormat="1" ht="21">
      <c r="A110" s="42"/>
      <c r="B110" s="42"/>
      <c r="C110" s="45"/>
      <c r="D110" s="31"/>
      <c r="E110" s="31"/>
      <c r="F110" s="47"/>
      <c r="G110" s="42"/>
      <c r="H110" s="42"/>
      <c r="I110" s="44"/>
      <c r="J110" s="44">
        <f t="shared" si="50"/>
        <v>0</v>
      </c>
      <c r="K110" s="42"/>
      <c r="L110" s="42">
        <f t="shared" si="34"/>
        <v>0</v>
      </c>
      <c r="M110" s="42"/>
      <c r="N110" s="42"/>
      <c r="O110" s="101"/>
      <c r="P110" s="45"/>
      <c r="Q110" s="42"/>
      <c r="R110" s="42"/>
      <c r="S110" s="42"/>
      <c r="T110" s="12">
        <f t="shared" si="51"/>
        <v>0</v>
      </c>
      <c r="U110" s="45"/>
      <c r="V110" s="12">
        <f>+T110*0</f>
        <v>0</v>
      </c>
      <c r="W110" s="12">
        <f t="shared" si="52"/>
        <v>0</v>
      </c>
      <c r="X110" s="12"/>
      <c r="Y110" s="12">
        <f aca="true" t="shared" si="55" ref="Y110:Y116">+L110+W110</f>
        <v>0</v>
      </c>
      <c r="Z110" s="12"/>
      <c r="AA110" s="12">
        <f t="shared" si="53"/>
        <v>0</v>
      </c>
      <c r="AB110" s="12"/>
      <c r="AC110" s="12">
        <f t="shared" si="54"/>
        <v>0</v>
      </c>
      <c r="AD110" s="42"/>
      <c r="AE110" s="12"/>
    </row>
    <row r="111" spans="1:31" s="46" customFormat="1" ht="21">
      <c r="A111" s="42" t="s">
        <v>0</v>
      </c>
      <c r="B111" s="42" t="s">
        <v>1</v>
      </c>
      <c r="C111" s="45" t="s">
        <v>1322</v>
      </c>
      <c r="D111" s="45" t="s">
        <v>168</v>
      </c>
      <c r="E111" s="29" t="s">
        <v>907</v>
      </c>
      <c r="F111" s="47" t="s">
        <v>140</v>
      </c>
      <c r="G111" s="42"/>
      <c r="H111" s="42">
        <v>1</v>
      </c>
      <c r="I111" s="44">
        <v>43</v>
      </c>
      <c r="J111" s="44">
        <f>+I111+(H111*100)+(G111*400)</f>
        <v>143</v>
      </c>
      <c r="K111" s="42">
        <v>12000</v>
      </c>
      <c r="L111" s="42">
        <f t="shared" si="34"/>
        <v>1716000</v>
      </c>
      <c r="M111" s="42"/>
      <c r="N111" s="42"/>
      <c r="O111" s="101"/>
      <c r="P111" s="45"/>
      <c r="Q111" s="42"/>
      <c r="R111" s="100"/>
      <c r="S111" s="42"/>
      <c r="T111" s="12">
        <f>+Q111*S111</f>
        <v>0</v>
      </c>
      <c r="U111" s="45"/>
      <c r="V111" s="12">
        <f>+T111*0</f>
        <v>0</v>
      </c>
      <c r="W111" s="12">
        <f>+T111-V111</f>
        <v>0</v>
      </c>
      <c r="X111" s="116"/>
      <c r="Y111" s="117">
        <f t="shared" si="55"/>
        <v>1716000</v>
      </c>
      <c r="Z111" s="12"/>
      <c r="AA111" s="12">
        <f>+Y111-Z111</f>
        <v>1716000</v>
      </c>
      <c r="AB111" s="12">
        <v>0.3</v>
      </c>
      <c r="AC111" s="12">
        <f>+AA111*AB111/100</f>
        <v>5148</v>
      </c>
      <c r="AD111" s="42"/>
      <c r="AE111" s="12"/>
    </row>
    <row r="112" spans="1:31" s="46" customFormat="1" ht="21">
      <c r="A112" s="42"/>
      <c r="B112" s="42"/>
      <c r="C112" s="45"/>
      <c r="D112" s="31"/>
      <c r="E112" s="31"/>
      <c r="F112" s="47"/>
      <c r="G112" s="42"/>
      <c r="H112" s="42"/>
      <c r="I112" s="44"/>
      <c r="J112" s="44">
        <f>+I112+(H112*100)+(G112*400)</f>
        <v>0</v>
      </c>
      <c r="K112" s="42"/>
      <c r="L112" s="42">
        <f t="shared" si="34"/>
        <v>0</v>
      </c>
      <c r="M112" s="42"/>
      <c r="N112" s="42"/>
      <c r="O112" s="101"/>
      <c r="P112" s="45"/>
      <c r="Q112" s="42"/>
      <c r="R112" s="42"/>
      <c r="S112" s="42"/>
      <c r="T112" s="12">
        <f>+Q112*S112</f>
        <v>0</v>
      </c>
      <c r="U112" s="45"/>
      <c r="V112" s="12">
        <f>+T112*0</f>
        <v>0</v>
      </c>
      <c r="W112" s="12">
        <f>+T112-V112</f>
        <v>0</v>
      </c>
      <c r="X112" s="12"/>
      <c r="Y112" s="12">
        <f t="shared" si="55"/>
        <v>0</v>
      </c>
      <c r="Z112" s="12"/>
      <c r="AA112" s="12">
        <f>+Y112-Z112</f>
        <v>0</v>
      </c>
      <c r="AB112" s="12"/>
      <c r="AC112" s="12">
        <f>+AA112*AB112/100</f>
        <v>0</v>
      </c>
      <c r="AD112" s="42"/>
      <c r="AE112" s="12"/>
    </row>
    <row r="113" spans="1:31" s="46" customFormat="1" ht="21">
      <c r="A113" s="42"/>
      <c r="B113" s="42"/>
      <c r="C113" s="45"/>
      <c r="D113" s="31"/>
      <c r="E113" s="31"/>
      <c r="F113" s="47"/>
      <c r="G113" s="42"/>
      <c r="H113" s="42"/>
      <c r="I113" s="44"/>
      <c r="J113" s="44">
        <f t="shared" si="50"/>
        <v>0</v>
      </c>
      <c r="K113" s="42"/>
      <c r="L113" s="42">
        <f t="shared" si="34"/>
        <v>0</v>
      </c>
      <c r="M113" s="42"/>
      <c r="N113" s="42"/>
      <c r="O113" s="101"/>
      <c r="P113" s="45"/>
      <c r="Q113" s="42"/>
      <c r="R113" s="42"/>
      <c r="S113" s="42"/>
      <c r="T113" s="12">
        <f t="shared" si="51"/>
        <v>0</v>
      </c>
      <c r="U113" s="45"/>
      <c r="V113" s="12">
        <f>+T113*0</f>
        <v>0</v>
      </c>
      <c r="W113" s="12">
        <f t="shared" si="52"/>
        <v>0</v>
      </c>
      <c r="X113" s="12"/>
      <c r="Y113" s="12">
        <f t="shared" si="55"/>
        <v>0</v>
      </c>
      <c r="Z113" s="12"/>
      <c r="AA113" s="12">
        <f t="shared" si="53"/>
        <v>0</v>
      </c>
      <c r="AB113" s="12"/>
      <c r="AC113" s="12">
        <f t="shared" si="54"/>
        <v>0</v>
      </c>
      <c r="AD113" s="42"/>
      <c r="AE113" s="12"/>
    </row>
    <row r="114" spans="1:31" s="46" customFormat="1" ht="21">
      <c r="A114" s="42" t="s">
        <v>0</v>
      </c>
      <c r="B114" s="42" t="s">
        <v>1</v>
      </c>
      <c r="C114" s="45" t="s">
        <v>1323</v>
      </c>
      <c r="D114" s="45" t="s">
        <v>169</v>
      </c>
      <c r="E114" s="10" t="s">
        <v>909</v>
      </c>
      <c r="F114" s="47" t="s">
        <v>140</v>
      </c>
      <c r="G114" s="42"/>
      <c r="H114" s="42">
        <v>1</v>
      </c>
      <c r="I114" s="44"/>
      <c r="J114" s="44">
        <f aca="true" t="shared" si="56" ref="J114:J119">+I114+(H114*100)+(G114*400)</f>
        <v>100</v>
      </c>
      <c r="K114" s="42">
        <v>6000</v>
      </c>
      <c r="L114" s="42">
        <f aca="true" t="shared" si="57" ref="L114:L136">+K114*J114</f>
        <v>600000</v>
      </c>
      <c r="M114" s="42"/>
      <c r="N114" s="42"/>
      <c r="O114" s="101"/>
      <c r="P114" s="45"/>
      <c r="Q114" s="42"/>
      <c r="R114" s="100"/>
      <c r="S114" s="42"/>
      <c r="T114" s="12">
        <f aca="true" t="shared" si="58" ref="T114:T119">+Q114*S114</f>
        <v>0</v>
      </c>
      <c r="U114" s="45"/>
      <c r="V114" s="12">
        <f aca="true" t="shared" si="59" ref="V114:V119">+T114*0</f>
        <v>0</v>
      </c>
      <c r="W114" s="12">
        <f aca="true" t="shared" si="60" ref="W114:W119">+T114-V114</f>
        <v>0</v>
      </c>
      <c r="X114" s="116"/>
      <c r="Y114" s="117">
        <f t="shared" si="55"/>
        <v>600000</v>
      </c>
      <c r="Z114" s="12"/>
      <c r="AA114" s="12">
        <f aca="true" t="shared" si="61" ref="AA114:AA119">+Y114-Z114</f>
        <v>600000</v>
      </c>
      <c r="AB114" s="12">
        <v>0.3</v>
      </c>
      <c r="AC114" s="12">
        <f aca="true" t="shared" si="62" ref="AC114:AC119">+AA114*AB114/100</f>
        <v>1800</v>
      </c>
      <c r="AD114" s="42"/>
      <c r="AE114" s="12"/>
    </row>
    <row r="115" spans="1:31" s="46" customFormat="1" ht="21">
      <c r="A115" s="42"/>
      <c r="B115" s="42"/>
      <c r="C115" s="45"/>
      <c r="D115" s="31"/>
      <c r="E115" s="31"/>
      <c r="F115" s="47"/>
      <c r="G115" s="42"/>
      <c r="H115" s="42"/>
      <c r="I115" s="44"/>
      <c r="J115" s="44">
        <f t="shared" si="56"/>
        <v>0</v>
      </c>
      <c r="K115" s="42"/>
      <c r="L115" s="42">
        <f t="shared" si="57"/>
        <v>0</v>
      </c>
      <c r="M115" s="42"/>
      <c r="N115" s="42"/>
      <c r="O115" s="101"/>
      <c r="P115" s="45"/>
      <c r="Q115" s="42"/>
      <c r="R115" s="42"/>
      <c r="S115" s="42"/>
      <c r="T115" s="12">
        <f t="shared" si="58"/>
        <v>0</v>
      </c>
      <c r="U115" s="45"/>
      <c r="V115" s="12">
        <f t="shared" si="59"/>
        <v>0</v>
      </c>
      <c r="W115" s="12">
        <f t="shared" si="60"/>
        <v>0</v>
      </c>
      <c r="X115" s="12"/>
      <c r="Y115" s="12">
        <f t="shared" si="55"/>
        <v>0</v>
      </c>
      <c r="Z115" s="12"/>
      <c r="AA115" s="12">
        <f t="shared" si="61"/>
        <v>0</v>
      </c>
      <c r="AB115" s="12"/>
      <c r="AC115" s="12">
        <f t="shared" si="62"/>
        <v>0</v>
      </c>
      <c r="AD115" s="42"/>
      <c r="AE115" s="12"/>
    </row>
    <row r="116" spans="1:31" s="46" customFormat="1" ht="21">
      <c r="A116" s="42"/>
      <c r="B116" s="42"/>
      <c r="C116" s="45"/>
      <c r="D116" s="31"/>
      <c r="E116" s="31"/>
      <c r="F116" s="47"/>
      <c r="G116" s="42"/>
      <c r="H116" s="42"/>
      <c r="I116" s="44"/>
      <c r="J116" s="44">
        <f t="shared" si="56"/>
        <v>0</v>
      </c>
      <c r="K116" s="42"/>
      <c r="L116" s="42">
        <f t="shared" si="57"/>
        <v>0</v>
      </c>
      <c r="M116" s="42"/>
      <c r="N116" s="42"/>
      <c r="O116" s="101"/>
      <c r="P116" s="45"/>
      <c r="Q116" s="42"/>
      <c r="R116" s="42"/>
      <c r="S116" s="42"/>
      <c r="T116" s="12">
        <f t="shared" si="58"/>
        <v>0</v>
      </c>
      <c r="U116" s="45"/>
      <c r="V116" s="12">
        <f t="shared" si="59"/>
        <v>0</v>
      </c>
      <c r="W116" s="12">
        <f t="shared" si="60"/>
        <v>0</v>
      </c>
      <c r="X116" s="12"/>
      <c r="Y116" s="12">
        <f t="shared" si="55"/>
        <v>0</v>
      </c>
      <c r="Z116" s="12"/>
      <c r="AA116" s="12">
        <f t="shared" si="61"/>
        <v>0</v>
      </c>
      <c r="AB116" s="12"/>
      <c r="AC116" s="12">
        <f t="shared" si="62"/>
        <v>0</v>
      </c>
      <c r="AD116" s="42"/>
      <c r="AE116" s="12"/>
    </row>
    <row r="117" spans="1:31" s="46" customFormat="1" ht="21">
      <c r="A117" s="42" t="s">
        <v>0</v>
      </c>
      <c r="B117" s="42" t="s">
        <v>1</v>
      </c>
      <c r="C117" s="45" t="s">
        <v>1324</v>
      </c>
      <c r="D117" s="45" t="s">
        <v>170</v>
      </c>
      <c r="E117" s="29" t="s">
        <v>907</v>
      </c>
      <c r="F117" s="47" t="s">
        <v>140</v>
      </c>
      <c r="G117" s="42"/>
      <c r="H117" s="42"/>
      <c r="I117" s="44">
        <v>50.2</v>
      </c>
      <c r="J117" s="44">
        <f>+I117+(H117*100)+(G117*400)</f>
        <v>50.2</v>
      </c>
      <c r="K117" s="42">
        <v>10000</v>
      </c>
      <c r="L117" s="42">
        <f t="shared" si="57"/>
        <v>502000</v>
      </c>
      <c r="M117" s="42"/>
      <c r="N117" s="42"/>
      <c r="O117" s="101"/>
      <c r="P117" s="45"/>
      <c r="Q117" s="42"/>
      <c r="R117" s="100"/>
      <c r="S117" s="42"/>
      <c r="T117" s="12">
        <f>+Q117*S117</f>
        <v>0</v>
      </c>
      <c r="U117" s="45"/>
      <c r="V117" s="12">
        <f>+T117*0</f>
        <v>0</v>
      </c>
      <c r="W117" s="12">
        <f>+T117-V117</f>
        <v>0</v>
      </c>
      <c r="X117" s="116"/>
      <c r="Y117" s="117">
        <f aca="true" t="shared" si="63" ref="Y117:Y122">+L117+W117</f>
        <v>502000</v>
      </c>
      <c r="Z117" s="12"/>
      <c r="AA117" s="12">
        <f>+Y117-Z117</f>
        <v>502000</v>
      </c>
      <c r="AB117" s="12">
        <v>0.3</v>
      </c>
      <c r="AC117" s="12">
        <f>+AA117*AB117/100</f>
        <v>1506</v>
      </c>
      <c r="AD117" s="42"/>
      <c r="AE117" s="12"/>
    </row>
    <row r="118" spans="1:31" s="46" customFormat="1" ht="21">
      <c r="A118" s="42" t="s">
        <v>0</v>
      </c>
      <c r="B118" s="42" t="s">
        <v>1</v>
      </c>
      <c r="C118" s="45" t="s">
        <v>1325</v>
      </c>
      <c r="D118" s="51" t="s">
        <v>171</v>
      </c>
      <c r="E118" s="29" t="s">
        <v>907</v>
      </c>
      <c r="F118" s="47" t="s">
        <v>137</v>
      </c>
      <c r="G118" s="42"/>
      <c r="H118" s="42"/>
      <c r="I118" s="44">
        <v>36.3</v>
      </c>
      <c r="J118" s="44">
        <f t="shared" si="56"/>
        <v>36.3</v>
      </c>
      <c r="K118" s="42">
        <v>60000</v>
      </c>
      <c r="L118" s="42">
        <f t="shared" si="57"/>
        <v>2178000</v>
      </c>
      <c r="M118" s="42"/>
      <c r="N118" s="42" t="s">
        <v>60</v>
      </c>
      <c r="O118" s="101" t="s">
        <v>446</v>
      </c>
      <c r="P118" s="45">
        <v>2</v>
      </c>
      <c r="Q118" s="100">
        <v>1512</v>
      </c>
      <c r="R118" s="100"/>
      <c r="S118" s="42">
        <v>7550</v>
      </c>
      <c r="T118" s="12">
        <f t="shared" si="58"/>
        <v>11415600</v>
      </c>
      <c r="U118" s="102" t="s">
        <v>106</v>
      </c>
      <c r="V118" s="12">
        <f>+T118*0.74</f>
        <v>8447544</v>
      </c>
      <c r="W118" s="12">
        <f t="shared" si="60"/>
        <v>2968056</v>
      </c>
      <c r="X118" s="116"/>
      <c r="Y118" s="117">
        <f t="shared" si="63"/>
        <v>5146056</v>
      </c>
      <c r="Z118" s="12">
        <f>+Y118</f>
        <v>5146056</v>
      </c>
      <c r="AA118" s="12">
        <f t="shared" si="61"/>
        <v>0</v>
      </c>
      <c r="AB118" s="12"/>
      <c r="AC118" s="12">
        <f t="shared" si="62"/>
        <v>0</v>
      </c>
      <c r="AD118" s="42" t="s">
        <v>906</v>
      </c>
      <c r="AE118" s="12"/>
    </row>
    <row r="119" spans="1:31" s="46" customFormat="1" ht="21">
      <c r="A119" s="42" t="s">
        <v>0</v>
      </c>
      <c r="B119" s="42" t="s">
        <v>1</v>
      </c>
      <c r="C119" s="45" t="s">
        <v>1326</v>
      </c>
      <c r="D119" s="51" t="s">
        <v>172</v>
      </c>
      <c r="E119" s="29" t="s">
        <v>907</v>
      </c>
      <c r="F119" s="47" t="s">
        <v>137</v>
      </c>
      <c r="G119" s="42"/>
      <c r="H119" s="42"/>
      <c r="I119" s="44">
        <v>33</v>
      </c>
      <c r="J119" s="44">
        <f t="shared" si="56"/>
        <v>33</v>
      </c>
      <c r="K119" s="42">
        <v>60000</v>
      </c>
      <c r="L119" s="42">
        <f t="shared" si="57"/>
        <v>1980000</v>
      </c>
      <c r="M119" s="42"/>
      <c r="N119" s="42"/>
      <c r="O119" s="101"/>
      <c r="P119" s="45"/>
      <c r="Q119" s="42"/>
      <c r="R119" s="100"/>
      <c r="S119" s="42"/>
      <c r="T119" s="12">
        <f t="shared" si="58"/>
        <v>0</v>
      </c>
      <c r="U119" s="45"/>
      <c r="V119" s="12">
        <f t="shared" si="59"/>
        <v>0</v>
      </c>
      <c r="W119" s="12">
        <f t="shared" si="60"/>
        <v>0</v>
      </c>
      <c r="X119" s="116"/>
      <c r="Y119" s="117">
        <f t="shared" si="63"/>
        <v>1980000</v>
      </c>
      <c r="Z119" s="12">
        <f>+Y119</f>
        <v>1980000</v>
      </c>
      <c r="AA119" s="12">
        <f t="shared" si="61"/>
        <v>0</v>
      </c>
      <c r="AB119" s="12"/>
      <c r="AC119" s="12">
        <f t="shared" si="62"/>
        <v>0</v>
      </c>
      <c r="AD119" s="42"/>
      <c r="AE119" s="12"/>
    </row>
    <row r="120" spans="1:31" s="46" customFormat="1" ht="21">
      <c r="A120" s="42" t="s">
        <v>0</v>
      </c>
      <c r="B120" s="42" t="s">
        <v>1</v>
      </c>
      <c r="C120" s="45" t="s">
        <v>1327</v>
      </c>
      <c r="D120" s="51" t="s">
        <v>173</v>
      </c>
      <c r="E120" s="29" t="s">
        <v>907</v>
      </c>
      <c r="F120" s="47" t="s">
        <v>137</v>
      </c>
      <c r="G120" s="42"/>
      <c r="H120" s="42"/>
      <c r="I120" s="44">
        <v>32.6</v>
      </c>
      <c r="J120" s="44">
        <f>+I120+(H120*100)+(G120*400)</f>
        <v>32.6</v>
      </c>
      <c r="K120" s="42">
        <v>60000</v>
      </c>
      <c r="L120" s="42">
        <f t="shared" si="57"/>
        <v>1956000</v>
      </c>
      <c r="M120" s="42"/>
      <c r="N120" s="42"/>
      <c r="O120" s="101"/>
      <c r="P120" s="45"/>
      <c r="Q120" s="42"/>
      <c r="R120" s="100"/>
      <c r="S120" s="42"/>
      <c r="T120" s="12">
        <f>+Q120*S120</f>
        <v>0</v>
      </c>
      <c r="U120" s="45"/>
      <c r="V120" s="12">
        <f>+T120*0</f>
        <v>0</v>
      </c>
      <c r="W120" s="12">
        <f>+T120-V120</f>
        <v>0</v>
      </c>
      <c r="X120" s="116"/>
      <c r="Y120" s="117">
        <f t="shared" si="63"/>
        <v>1956000</v>
      </c>
      <c r="Z120" s="12">
        <f>+Y120</f>
        <v>1956000</v>
      </c>
      <c r="AA120" s="12">
        <f>+Y120-Z120</f>
        <v>0</v>
      </c>
      <c r="AB120" s="12"/>
      <c r="AC120" s="12">
        <f>+AA120*AB120/100</f>
        <v>0</v>
      </c>
      <c r="AD120" s="42"/>
      <c r="AE120" s="12"/>
    </row>
    <row r="121" spans="1:31" s="46" customFormat="1" ht="21">
      <c r="A121" s="42" t="s">
        <v>0</v>
      </c>
      <c r="B121" s="42" t="s">
        <v>1</v>
      </c>
      <c r="C121" s="45" t="s">
        <v>1328</v>
      </c>
      <c r="D121" s="51" t="s">
        <v>174</v>
      </c>
      <c r="E121" s="29" t="s">
        <v>907</v>
      </c>
      <c r="F121" s="47" t="s">
        <v>137</v>
      </c>
      <c r="G121" s="42"/>
      <c r="H121" s="42"/>
      <c r="I121" s="44">
        <v>32.2</v>
      </c>
      <c r="J121" s="44">
        <f>+I121+(H121*100)+(G121*400)</f>
        <v>32.2</v>
      </c>
      <c r="K121" s="42">
        <v>60000</v>
      </c>
      <c r="L121" s="42">
        <f t="shared" si="57"/>
        <v>1932000.0000000002</v>
      </c>
      <c r="M121" s="42"/>
      <c r="N121" s="42"/>
      <c r="O121" s="101"/>
      <c r="P121" s="45"/>
      <c r="Q121" s="42"/>
      <c r="R121" s="100"/>
      <c r="S121" s="42"/>
      <c r="T121" s="12">
        <f>+Q121*S121</f>
        <v>0</v>
      </c>
      <c r="U121" s="45"/>
      <c r="V121" s="12">
        <f>+T121*0</f>
        <v>0</v>
      </c>
      <c r="W121" s="12">
        <f>+T121-V121</f>
        <v>0</v>
      </c>
      <c r="X121" s="116"/>
      <c r="Y121" s="117">
        <f t="shared" si="63"/>
        <v>1932000.0000000002</v>
      </c>
      <c r="Z121" s="12">
        <f>+Y121</f>
        <v>1932000.0000000002</v>
      </c>
      <c r="AA121" s="12">
        <f>+Y121-Z121</f>
        <v>0</v>
      </c>
      <c r="AB121" s="12"/>
      <c r="AC121" s="12">
        <f>+AA121*AB121/100</f>
        <v>0</v>
      </c>
      <c r="AD121" s="42"/>
      <c r="AE121" s="12"/>
    </row>
    <row r="122" spans="1:31" s="46" customFormat="1" ht="21">
      <c r="A122" s="42" t="s">
        <v>0</v>
      </c>
      <c r="B122" s="42" t="s">
        <v>1</v>
      </c>
      <c r="C122" s="45" t="s">
        <v>1329</v>
      </c>
      <c r="D122" s="45" t="s">
        <v>175</v>
      </c>
      <c r="E122" s="10" t="s">
        <v>909</v>
      </c>
      <c r="F122" s="47" t="s">
        <v>137</v>
      </c>
      <c r="G122" s="42"/>
      <c r="H122" s="42"/>
      <c r="I122" s="44">
        <v>35.4</v>
      </c>
      <c r="J122" s="44">
        <f>+I122+(H122*100)+(G122*400)</f>
        <v>35.4</v>
      </c>
      <c r="K122" s="42">
        <v>10000</v>
      </c>
      <c r="L122" s="42">
        <f t="shared" si="57"/>
        <v>354000</v>
      </c>
      <c r="M122" s="42"/>
      <c r="N122" s="42" t="s">
        <v>60</v>
      </c>
      <c r="O122" s="101" t="s">
        <v>446</v>
      </c>
      <c r="P122" s="45">
        <v>2</v>
      </c>
      <c r="Q122" s="100">
        <v>256</v>
      </c>
      <c r="R122" s="100"/>
      <c r="S122" s="42">
        <v>7550</v>
      </c>
      <c r="T122" s="12">
        <f>+Q122*S122</f>
        <v>1932800</v>
      </c>
      <c r="U122" s="102" t="s">
        <v>95</v>
      </c>
      <c r="V122" s="12">
        <f>+T122*0.48</f>
        <v>927744</v>
      </c>
      <c r="W122" s="12">
        <f>+T122-V122</f>
        <v>1005056</v>
      </c>
      <c r="X122" s="116"/>
      <c r="Y122" s="117">
        <f t="shared" si="63"/>
        <v>1359056</v>
      </c>
      <c r="Z122" s="12"/>
      <c r="AA122" s="12">
        <f>+Y122-Z122</f>
        <v>1359056</v>
      </c>
      <c r="AB122" s="12">
        <v>0.02</v>
      </c>
      <c r="AC122" s="12">
        <f>+AA122*AB122/100</f>
        <v>271.8112</v>
      </c>
      <c r="AD122" s="42"/>
      <c r="AE122" s="12"/>
    </row>
    <row r="123" spans="1:31" s="46" customFormat="1" ht="21">
      <c r="A123" s="42" t="s">
        <v>0</v>
      </c>
      <c r="B123" s="42" t="s">
        <v>1</v>
      </c>
      <c r="C123" s="45" t="s">
        <v>1330</v>
      </c>
      <c r="D123" s="45" t="s">
        <v>176</v>
      </c>
      <c r="E123" s="29" t="s">
        <v>907</v>
      </c>
      <c r="F123" s="47" t="s">
        <v>177</v>
      </c>
      <c r="G123" s="42"/>
      <c r="H123" s="42"/>
      <c r="I123" s="44">
        <v>71.4</v>
      </c>
      <c r="J123" s="44">
        <f aca="true" t="shared" si="64" ref="J123:J128">+I123+(H123*100)+(G123*400)</f>
        <v>71.4</v>
      </c>
      <c r="K123" s="42">
        <v>12000</v>
      </c>
      <c r="L123" s="42">
        <f t="shared" si="57"/>
        <v>856800.0000000001</v>
      </c>
      <c r="M123" s="42"/>
      <c r="N123" s="42"/>
      <c r="O123" s="101"/>
      <c r="P123" s="45"/>
      <c r="Q123" s="42"/>
      <c r="R123" s="100"/>
      <c r="S123" s="42"/>
      <c r="T123" s="12">
        <f aca="true" t="shared" si="65" ref="T123:T128">+Q123*S123</f>
        <v>0</v>
      </c>
      <c r="U123" s="45"/>
      <c r="V123" s="12">
        <f aca="true" t="shared" si="66" ref="V123:V128">+T123*0</f>
        <v>0</v>
      </c>
      <c r="W123" s="12">
        <f aca="true" t="shared" si="67" ref="W123:W128">+T123-V123</f>
        <v>0</v>
      </c>
      <c r="X123" s="116"/>
      <c r="Y123" s="117">
        <f>+L123+W123</f>
        <v>856800.0000000001</v>
      </c>
      <c r="Z123" s="12">
        <f>+Y123</f>
        <v>856800.0000000001</v>
      </c>
      <c r="AA123" s="12">
        <f aca="true" t="shared" si="68" ref="AA123:AA128">+Y123-Z123</f>
        <v>0</v>
      </c>
      <c r="AB123" s="12"/>
      <c r="AC123" s="12">
        <f aca="true" t="shared" si="69" ref="AC123:AC128">+AA123*AB123/100</f>
        <v>0</v>
      </c>
      <c r="AD123" s="42"/>
      <c r="AE123" s="12"/>
    </row>
    <row r="124" spans="1:31" s="46" customFormat="1" ht="21">
      <c r="A124" s="42"/>
      <c r="B124" s="42"/>
      <c r="C124" s="45"/>
      <c r="D124" s="31"/>
      <c r="E124" s="31"/>
      <c r="F124" s="47"/>
      <c r="G124" s="42"/>
      <c r="H124" s="42"/>
      <c r="I124" s="44"/>
      <c r="J124" s="44">
        <f t="shared" si="64"/>
        <v>0</v>
      </c>
      <c r="K124" s="42"/>
      <c r="L124" s="42">
        <f t="shared" si="57"/>
        <v>0</v>
      </c>
      <c r="M124" s="42"/>
      <c r="N124" s="42"/>
      <c r="O124" s="101"/>
      <c r="P124" s="45"/>
      <c r="Q124" s="42"/>
      <c r="R124" s="42"/>
      <c r="S124" s="42"/>
      <c r="T124" s="12">
        <f t="shared" si="65"/>
        <v>0</v>
      </c>
      <c r="U124" s="45"/>
      <c r="V124" s="12">
        <f t="shared" si="66"/>
        <v>0</v>
      </c>
      <c r="W124" s="12">
        <f t="shared" si="67"/>
        <v>0</v>
      </c>
      <c r="X124" s="12"/>
      <c r="Y124" s="12">
        <f>+L124+W124</f>
        <v>0</v>
      </c>
      <c r="Z124" s="12"/>
      <c r="AA124" s="12">
        <f t="shared" si="68"/>
        <v>0</v>
      </c>
      <c r="AB124" s="12"/>
      <c r="AC124" s="12">
        <f t="shared" si="69"/>
        <v>0</v>
      </c>
      <c r="AD124" s="42"/>
      <c r="AE124" s="12"/>
    </row>
    <row r="125" spans="1:31" s="46" customFormat="1" ht="21">
      <c r="A125" s="42"/>
      <c r="B125" s="42"/>
      <c r="C125" s="45"/>
      <c r="D125" s="31"/>
      <c r="E125" s="31"/>
      <c r="F125" s="47"/>
      <c r="G125" s="42"/>
      <c r="H125" s="42"/>
      <c r="I125" s="44"/>
      <c r="J125" s="44">
        <f t="shared" si="64"/>
        <v>0</v>
      </c>
      <c r="K125" s="42"/>
      <c r="L125" s="42">
        <f t="shared" si="57"/>
        <v>0</v>
      </c>
      <c r="M125" s="42"/>
      <c r="N125" s="42"/>
      <c r="O125" s="101"/>
      <c r="P125" s="45"/>
      <c r="Q125" s="42"/>
      <c r="R125" s="42"/>
      <c r="S125" s="42"/>
      <c r="T125" s="12">
        <f t="shared" si="65"/>
        <v>0</v>
      </c>
      <c r="U125" s="45"/>
      <c r="V125" s="12">
        <f t="shared" si="66"/>
        <v>0</v>
      </c>
      <c r="W125" s="12">
        <f t="shared" si="67"/>
        <v>0</v>
      </c>
      <c r="X125" s="12"/>
      <c r="Y125" s="12">
        <f>+L125+W125</f>
        <v>0</v>
      </c>
      <c r="Z125" s="12"/>
      <c r="AA125" s="12">
        <f t="shared" si="68"/>
        <v>0</v>
      </c>
      <c r="AB125" s="12"/>
      <c r="AC125" s="12">
        <f t="shared" si="69"/>
        <v>0</v>
      </c>
      <c r="AD125" s="42"/>
      <c r="AE125" s="12"/>
    </row>
    <row r="126" spans="1:31" s="46" customFormat="1" ht="21">
      <c r="A126" s="42" t="s">
        <v>0</v>
      </c>
      <c r="B126" s="42" t="s">
        <v>1</v>
      </c>
      <c r="C126" s="45" t="s">
        <v>1331</v>
      </c>
      <c r="D126" s="45" t="s">
        <v>178</v>
      </c>
      <c r="E126" s="29" t="s">
        <v>907</v>
      </c>
      <c r="F126" s="47" t="s">
        <v>167</v>
      </c>
      <c r="G126" s="42"/>
      <c r="H126" s="42"/>
      <c r="I126" s="44">
        <v>21.7</v>
      </c>
      <c r="J126" s="44">
        <f>+I126+(H126*100)+(G126*400)</f>
        <v>21.7</v>
      </c>
      <c r="K126" s="42">
        <v>60000</v>
      </c>
      <c r="L126" s="42">
        <f t="shared" si="57"/>
        <v>1302000</v>
      </c>
      <c r="M126" s="42">
        <v>1</v>
      </c>
      <c r="N126" s="42" t="s">
        <v>60</v>
      </c>
      <c r="O126" s="101" t="s">
        <v>446</v>
      </c>
      <c r="P126" s="45">
        <v>2</v>
      </c>
      <c r="Q126" s="100">
        <v>204</v>
      </c>
      <c r="R126" s="100">
        <v>80.96</v>
      </c>
      <c r="S126" s="42">
        <v>7550</v>
      </c>
      <c r="T126" s="12">
        <f>+Q126*S126</f>
        <v>1540200</v>
      </c>
      <c r="U126" s="102" t="s">
        <v>101</v>
      </c>
      <c r="V126" s="12">
        <f>+T126*0.62</f>
        <v>954924</v>
      </c>
      <c r="W126" s="12">
        <f>+T126-V126</f>
        <v>585276</v>
      </c>
      <c r="X126" s="116"/>
      <c r="Y126" s="117">
        <f>+L126*(R126/100)+W126</f>
        <v>1639375.2</v>
      </c>
      <c r="Z126" s="12">
        <f>+Y126</f>
        <v>1639375.2</v>
      </c>
      <c r="AA126" s="12">
        <f>+Y126-Z126</f>
        <v>0</v>
      </c>
      <c r="AB126" s="12"/>
      <c r="AC126" s="12">
        <f>+AA126*AB126/100</f>
        <v>0</v>
      </c>
      <c r="AD126" s="12" t="s">
        <v>906</v>
      </c>
      <c r="AE126" s="12"/>
    </row>
    <row r="127" spans="1:31" s="46" customFormat="1" ht="21">
      <c r="A127" s="42" t="s">
        <v>0</v>
      </c>
      <c r="B127" s="42"/>
      <c r="C127" s="45"/>
      <c r="D127" s="45"/>
      <c r="E127" s="31"/>
      <c r="F127" s="47"/>
      <c r="G127" s="42"/>
      <c r="H127" s="42"/>
      <c r="I127" s="44"/>
      <c r="J127" s="44">
        <f t="shared" si="64"/>
        <v>0</v>
      </c>
      <c r="K127" s="42"/>
      <c r="L127" s="42">
        <f t="shared" si="57"/>
        <v>0</v>
      </c>
      <c r="M127" s="42">
        <v>2</v>
      </c>
      <c r="N127" s="42" t="s">
        <v>60</v>
      </c>
      <c r="O127" s="101" t="s">
        <v>446</v>
      </c>
      <c r="P127" s="45">
        <v>3</v>
      </c>
      <c r="Q127" s="100">
        <v>48</v>
      </c>
      <c r="R127" s="100">
        <v>19.04</v>
      </c>
      <c r="S127" s="42">
        <v>7550</v>
      </c>
      <c r="T127" s="12">
        <f t="shared" si="65"/>
        <v>362400</v>
      </c>
      <c r="U127" s="102" t="s">
        <v>101</v>
      </c>
      <c r="V127" s="12">
        <f>+T127*0.62</f>
        <v>224688</v>
      </c>
      <c r="W127" s="12">
        <f t="shared" si="67"/>
        <v>137712</v>
      </c>
      <c r="X127" s="116"/>
      <c r="Y127" s="117">
        <f>+L126*(R127/100)+W127</f>
        <v>385612.8</v>
      </c>
      <c r="Z127" s="12"/>
      <c r="AA127" s="12">
        <f t="shared" si="68"/>
        <v>385612.8</v>
      </c>
      <c r="AB127" s="12">
        <v>0.3</v>
      </c>
      <c r="AC127" s="12">
        <f t="shared" si="69"/>
        <v>1156.8383999999999</v>
      </c>
      <c r="AD127" s="42"/>
      <c r="AE127" s="12"/>
    </row>
    <row r="128" spans="1:31" s="46" customFormat="1" ht="21">
      <c r="A128" s="42"/>
      <c r="B128" s="42"/>
      <c r="C128" s="45"/>
      <c r="D128" s="31"/>
      <c r="E128" s="31"/>
      <c r="F128" s="47"/>
      <c r="G128" s="42"/>
      <c r="H128" s="42"/>
      <c r="I128" s="44"/>
      <c r="J128" s="44">
        <f t="shared" si="64"/>
        <v>0</v>
      </c>
      <c r="K128" s="42"/>
      <c r="L128" s="42">
        <f t="shared" si="57"/>
        <v>0</v>
      </c>
      <c r="M128" s="42"/>
      <c r="N128" s="42"/>
      <c r="O128" s="101"/>
      <c r="P128" s="45"/>
      <c r="Q128" s="42"/>
      <c r="R128" s="42"/>
      <c r="S128" s="42"/>
      <c r="T128" s="12">
        <f t="shared" si="65"/>
        <v>0</v>
      </c>
      <c r="U128" s="45"/>
      <c r="V128" s="12">
        <f t="shared" si="66"/>
        <v>0</v>
      </c>
      <c r="W128" s="12">
        <f t="shared" si="67"/>
        <v>0</v>
      </c>
      <c r="X128" s="12"/>
      <c r="Y128" s="12">
        <f>+L128+W128</f>
        <v>0</v>
      </c>
      <c r="Z128" s="12"/>
      <c r="AA128" s="12">
        <f t="shared" si="68"/>
        <v>0</v>
      </c>
      <c r="AB128" s="12"/>
      <c r="AC128" s="12">
        <f t="shared" si="69"/>
        <v>0</v>
      </c>
      <c r="AD128" s="42"/>
      <c r="AE128" s="12"/>
    </row>
    <row r="129" spans="1:31" s="46" customFormat="1" ht="21">
      <c r="A129" s="42" t="s">
        <v>0</v>
      </c>
      <c r="B129" s="42" t="s">
        <v>1</v>
      </c>
      <c r="C129" s="45" t="s">
        <v>1332</v>
      </c>
      <c r="D129" s="51" t="s">
        <v>179</v>
      </c>
      <c r="E129" s="10" t="s">
        <v>909</v>
      </c>
      <c r="F129" s="47" t="s">
        <v>140</v>
      </c>
      <c r="G129" s="42"/>
      <c r="H129" s="42"/>
      <c r="I129" s="44">
        <v>61.5</v>
      </c>
      <c r="J129" s="44">
        <f aca="true" t="shared" si="70" ref="J129:J136">+I129+(H129*100)+(G129*400)</f>
        <v>61.5</v>
      </c>
      <c r="K129" s="42">
        <v>5000</v>
      </c>
      <c r="L129" s="42">
        <f t="shared" si="57"/>
        <v>307500</v>
      </c>
      <c r="M129" s="42"/>
      <c r="N129" s="42"/>
      <c r="O129" s="101"/>
      <c r="P129" s="45"/>
      <c r="Q129" s="42"/>
      <c r="R129" s="100"/>
      <c r="S129" s="42"/>
      <c r="T129" s="12">
        <f aca="true" t="shared" si="71" ref="T129:T136">+Q129*S129</f>
        <v>0</v>
      </c>
      <c r="U129" s="45"/>
      <c r="V129" s="12">
        <f>+T129*0</f>
        <v>0</v>
      </c>
      <c r="W129" s="12">
        <f aca="true" t="shared" si="72" ref="W129:W136">+T129-V129</f>
        <v>0</v>
      </c>
      <c r="X129" s="116"/>
      <c r="Y129" s="117">
        <f>+L129+W129</f>
        <v>307500</v>
      </c>
      <c r="Z129" s="12"/>
      <c r="AA129" s="12">
        <f aca="true" t="shared" si="73" ref="AA129:AA136">+Y129-Z129</f>
        <v>307500</v>
      </c>
      <c r="AB129" s="12">
        <v>0.3</v>
      </c>
      <c r="AC129" s="12">
        <f aca="true" t="shared" si="74" ref="AC129:AC136">+AA129*AB129/100</f>
        <v>922.5</v>
      </c>
      <c r="AD129" s="42"/>
      <c r="AE129" s="12"/>
    </row>
    <row r="130" spans="1:31" s="46" customFormat="1" ht="21">
      <c r="A130" s="42" t="s">
        <v>0</v>
      </c>
      <c r="B130" s="42" t="s">
        <v>1</v>
      </c>
      <c r="C130" s="45" t="s">
        <v>1333</v>
      </c>
      <c r="D130" s="51" t="s">
        <v>180</v>
      </c>
      <c r="E130" s="10" t="s">
        <v>909</v>
      </c>
      <c r="F130" s="47" t="s">
        <v>137</v>
      </c>
      <c r="G130" s="42"/>
      <c r="H130" s="42">
        <v>2</v>
      </c>
      <c r="I130" s="44">
        <v>19.4</v>
      </c>
      <c r="J130" s="44">
        <f t="shared" si="70"/>
        <v>219.4</v>
      </c>
      <c r="K130" s="42">
        <v>5000</v>
      </c>
      <c r="L130" s="42">
        <f t="shared" si="57"/>
        <v>1097000</v>
      </c>
      <c r="M130" s="42">
        <v>1</v>
      </c>
      <c r="N130" s="42" t="s">
        <v>64</v>
      </c>
      <c r="O130" s="101" t="s">
        <v>446</v>
      </c>
      <c r="P130" s="45">
        <v>2</v>
      </c>
      <c r="Q130" s="100">
        <v>60</v>
      </c>
      <c r="R130" s="100">
        <v>42.86</v>
      </c>
      <c r="S130" s="42">
        <v>6550</v>
      </c>
      <c r="T130" s="12">
        <f t="shared" si="71"/>
        <v>393000</v>
      </c>
      <c r="U130" s="102" t="s">
        <v>109</v>
      </c>
      <c r="V130" s="12">
        <f>+T130*0.76</f>
        <v>298680</v>
      </c>
      <c r="W130" s="12">
        <f t="shared" si="72"/>
        <v>94320</v>
      </c>
      <c r="X130" s="116"/>
      <c r="Y130" s="117">
        <f>+L130*(R130/100)+W130</f>
        <v>564494.2</v>
      </c>
      <c r="Z130" s="12"/>
      <c r="AA130" s="12">
        <f t="shared" si="73"/>
        <v>564494.2</v>
      </c>
      <c r="AB130" s="12">
        <v>0.02</v>
      </c>
      <c r="AC130" s="12">
        <f t="shared" si="74"/>
        <v>112.89884</v>
      </c>
      <c r="AD130" s="42"/>
      <c r="AE130" s="12"/>
    </row>
    <row r="131" spans="1:31" s="46" customFormat="1" ht="21">
      <c r="A131" s="42" t="s">
        <v>0</v>
      </c>
      <c r="B131" s="42"/>
      <c r="C131" s="45"/>
      <c r="D131" s="45"/>
      <c r="E131" s="31"/>
      <c r="F131" s="47"/>
      <c r="G131" s="42"/>
      <c r="H131" s="42"/>
      <c r="I131" s="44"/>
      <c r="J131" s="44">
        <f t="shared" si="70"/>
        <v>0</v>
      </c>
      <c r="K131" s="42"/>
      <c r="L131" s="42">
        <f t="shared" si="57"/>
        <v>0</v>
      </c>
      <c r="M131" s="42">
        <v>2</v>
      </c>
      <c r="N131" s="42" t="s">
        <v>64</v>
      </c>
      <c r="O131" s="101" t="s">
        <v>446</v>
      </c>
      <c r="P131" s="45">
        <v>2</v>
      </c>
      <c r="Q131" s="100">
        <v>80</v>
      </c>
      <c r="R131" s="100">
        <v>57.14</v>
      </c>
      <c r="S131" s="42">
        <v>6550</v>
      </c>
      <c r="T131" s="12">
        <f t="shared" si="71"/>
        <v>524000</v>
      </c>
      <c r="U131" s="102" t="s">
        <v>109</v>
      </c>
      <c r="V131" s="12">
        <f>+T131*0.76</f>
        <v>398240</v>
      </c>
      <c r="W131" s="12">
        <f t="shared" si="72"/>
        <v>125760</v>
      </c>
      <c r="X131" s="116"/>
      <c r="Y131" s="117">
        <f>+L130*(R131/100)+W131</f>
        <v>752585.8</v>
      </c>
      <c r="Z131" s="12"/>
      <c r="AA131" s="12">
        <f t="shared" si="73"/>
        <v>752585.8</v>
      </c>
      <c r="AB131" s="12">
        <v>0.02</v>
      </c>
      <c r="AC131" s="12">
        <f t="shared" si="74"/>
        <v>150.51716</v>
      </c>
      <c r="AD131" s="42"/>
      <c r="AE131" s="12"/>
    </row>
    <row r="132" spans="1:31" s="46" customFormat="1" ht="21">
      <c r="A132" s="42"/>
      <c r="B132" s="42"/>
      <c r="C132" s="45"/>
      <c r="D132" s="31"/>
      <c r="E132" s="31"/>
      <c r="F132" s="47"/>
      <c r="G132" s="42"/>
      <c r="H132" s="42"/>
      <c r="I132" s="44"/>
      <c r="J132" s="44">
        <f t="shared" si="70"/>
        <v>0</v>
      </c>
      <c r="K132" s="42"/>
      <c r="L132" s="42">
        <f t="shared" si="57"/>
        <v>0</v>
      </c>
      <c r="M132" s="42"/>
      <c r="N132" s="42"/>
      <c r="O132" s="101"/>
      <c r="P132" s="45"/>
      <c r="Q132" s="42"/>
      <c r="R132" s="42"/>
      <c r="S132" s="42"/>
      <c r="T132" s="12">
        <f t="shared" si="71"/>
        <v>0</v>
      </c>
      <c r="U132" s="45"/>
      <c r="V132" s="12">
        <f>+T132*0</f>
        <v>0</v>
      </c>
      <c r="W132" s="12">
        <f t="shared" si="72"/>
        <v>0</v>
      </c>
      <c r="X132" s="12"/>
      <c r="Y132" s="12">
        <f>+L132+W132</f>
        <v>0</v>
      </c>
      <c r="Z132" s="12"/>
      <c r="AA132" s="12">
        <f t="shared" si="73"/>
        <v>0</v>
      </c>
      <c r="AB132" s="12"/>
      <c r="AC132" s="12">
        <f t="shared" si="74"/>
        <v>0</v>
      </c>
      <c r="AD132" s="42"/>
      <c r="AE132" s="12"/>
    </row>
    <row r="133" spans="1:31" s="46" customFormat="1" ht="21">
      <c r="A133" s="42" t="s">
        <v>0</v>
      </c>
      <c r="B133" s="42" t="s">
        <v>1</v>
      </c>
      <c r="C133" s="45" t="s">
        <v>1334</v>
      </c>
      <c r="D133" s="45" t="s">
        <v>181</v>
      </c>
      <c r="E133" s="29" t="s">
        <v>907</v>
      </c>
      <c r="F133" s="47" t="s">
        <v>137</v>
      </c>
      <c r="G133" s="42"/>
      <c r="H133" s="42"/>
      <c r="I133" s="44">
        <v>73.4</v>
      </c>
      <c r="J133" s="44">
        <f t="shared" si="70"/>
        <v>73.4</v>
      </c>
      <c r="K133" s="42">
        <v>15000</v>
      </c>
      <c r="L133" s="42">
        <f t="shared" si="57"/>
        <v>1101000</v>
      </c>
      <c r="M133" s="42"/>
      <c r="N133" s="42" t="s">
        <v>183</v>
      </c>
      <c r="O133" s="101" t="s">
        <v>446</v>
      </c>
      <c r="P133" s="45">
        <v>2</v>
      </c>
      <c r="Q133" s="100">
        <f>32*7</f>
        <v>224</v>
      </c>
      <c r="R133" s="100"/>
      <c r="S133" s="42">
        <v>7550</v>
      </c>
      <c r="T133" s="12">
        <f t="shared" si="71"/>
        <v>1691200</v>
      </c>
      <c r="U133" s="102" t="s">
        <v>107</v>
      </c>
      <c r="V133" s="12">
        <f>+T133*0.76</f>
        <v>1285312</v>
      </c>
      <c r="W133" s="12">
        <f t="shared" si="72"/>
        <v>405888</v>
      </c>
      <c r="X133" s="116"/>
      <c r="Y133" s="117">
        <f>+L133+W133</f>
        <v>1506888</v>
      </c>
      <c r="Z133" s="12"/>
      <c r="AA133" s="12">
        <f t="shared" si="73"/>
        <v>1506888</v>
      </c>
      <c r="AB133" s="12">
        <v>0.02</v>
      </c>
      <c r="AC133" s="12">
        <f t="shared" si="74"/>
        <v>301.37760000000003</v>
      </c>
      <c r="AD133" s="42"/>
      <c r="AE133" s="12"/>
    </row>
    <row r="134" spans="1:31" s="46" customFormat="1" ht="21">
      <c r="A134" s="42" t="s">
        <v>0</v>
      </c>
      <c r="B134" s="42" t="s">
        <v>1</v>
      </c>
      <c r="C134" s="45" t="s">
        <v>1335</v>
      </c>
      <c r="D134" s="45" t="s">
        <v>182</v>
      </c>
      <c r="E134" s="29" t="s">
        <v>907</v>
      </c>
      <c r="F134" s="47" t="s">
        <v>137</v>
      </c>
      <c r="G134" s="42"/>
      <c r="H134" s="42"/>
      <c r="I134" s="44">
        <v>73.5</v>
      </c>
      <c r="J134" s="44">
        <f t="shared" si="70"/>
        <v>73.5</v>
      </c>
      <c r="K134" s="42">
        <v>15000</v>
      </c>
      <c r="L134" s="42">
        <f t="shared" si="57"/>
        <v>1102500</v>
      </c>
      <c r="M134" s="42">
        <v>1</v>
      </c>
      <c r="N134" s="42" t="s">
        <v>64</v>
      </c>
      <c r="O134" s="101" t="s">
        <v>446</v>
      </c>
      <c r="P134" s="45">
        <v>2</v>
      </c>
      <c r="Q134" s="100">
        <v>252</v>
      </c>
      <c r="R134" s="100">
        <v>71.6</v>
      </c>
      <c r="S134" s="42">
        <v>6550</v>
      </c>
      <c r="T134" s="12">
        <f t="shared" si="71"/>
        <v>1650600</v>
      </c>
      <c r="U134" s="102" t="s">
        <v>107</v>
      </c>
      <c r="V134" s="12">
        <f>+T134*0.76</f>
        <v>1254456</v>
      </c>
      <c r="W134" s="12">
        <f t="shared" si="72"/>
        <v>396144</v>
      </c>
      <c r="X134" s="116"/>
      <c r="Y134" s="117">
        <f>+L134*(R134/100)+W134</f>
        <v>1185534</v>
      </c>
      <c r="Z134" s="12">
        <f>+Y134</f>
        <v>1185534</v>
      </c>
      <c r="AA134" s="12">
        <f t="shared" si="73"/>
        <v>0</v>
      </c>
      <c r="AB134" s="12"/>
      <c r="AC134" s="12">
        <f t="shared" si="74"/>
        <v>0</v>
      </c>
      <c r="AD134" s="42" t="s">
        <v>906</v>
      </c>
      <c r="AE134" s="12"/>
    </row>
    <row r="135" spans="1:31" s="46" customFormat="1" ht="21">
      <c r="A135" s="42" t="s">
        <v>0</v>
      </c>
      <c r="B135" s="42"/>
      <c r="C135" s="45"/>
      <c r="D135" s="45"/>
      <c r="E135" s="31"/>
      <c r="F135" s="47"/>
      <c r="G135" s="42"/>
      <c r="H135" s="42"/>
      <c r="I135" s="44"/>
      <c r="J135" s="44">
        <f t="shared" si="70"/>
        <v>0</v>
      </c>
      <c r="K135" s="42"/>
      <c r="L135" s="42">
        <f t="shared" si="57"/>
        <v>0</v>
      </c>
      <c r="M135" s="42">
        <v>2</v>
      </c>
      <c r="N135" s="42" t="s">
        <v>184</v>
      </c>
      <c r="O135" s="101" t="s">
        <v>446</v>
      </c>
      <c r="P135" s="45">
        <v>2</v>
      </c>
      <c r="Q135" s="100">
        <f>32+68</f>
        <v>100</v>
      </c>
      <c r="R135" s="100">
        <v>28.4</v>
      </c>
      <c r="S135" s="42">
        <v>7550</v>
      </c>
      <c r="T135" s="12">
        <f t="shared" si="71"/>
        <v>755000</v>
      </c>
      <c r="U135" s="102" t="s">
        <v>107</v>
      </c>
      <c r="V135" s="12">
        <f>+T135*0.76</f>
        <v>573800</v>
      </c>
      <c r="W135" s="12">
        <f t="shared" si="72"/>
        <v>181200</v>
      </c>
      <c r="X135" s="116"/>
      <c r="Y135" s="117">
        <f>+L134*(R135/100)+W135</f>
        <v>494310</v>
      </c>
      <c r="Z135" s="12"/>
      <c r="AA135" s="12">
        <f t="shared" si="73"/>
        <v>494310</v>
      </c>
      <c r="AB135" s="12">
        <v>0.02</v>
      </c>
      <c r="AC135" s="12">
        <f t="shared" si="74"/>
        <v>98.86200000000001</v>
      </c>
      <c r="AD135" s="42"/>
      <c r="AE135" s="12"/>
    </row>
    <row r="136" spans="1:31" s="46" customFormat="1" ht="21">
      <c r="A136" s="42"/>
      <c r="B136" s="42"/>
      <c r="C136" s="45"/>
      <c r="D136" s="31"/>
      <c r="E136" s="31"/>
      <c r="F136" s="47"/>
      <c r="G136" s="42"/>
      <c r="H136" s="42"/>
      <c r="I136" s="44"/>
      <c r="J136" s="44">
        <f t="shared" si="70"/>
        <v>0</v>
      </c>
      <c r="K136" s="42"/>
      <c r="L136" s="42">
        <f t="shared" si="57"/>
        <v>0</v>
      </c>
      <c r="M136" s="42"/>
      <c r="N136" s="42"/>
      <c r="O136" s="101"/>
      <c r="P136" s="45"/>
      <c r="Q136" s="42"/>
      <c r="R136" s="42"/>
      <c r="S136" s="42"/>
      <c r="T136" s="12">
        <f t="shared" si="71"/>
        <v>0</v>
      </c>
      <c r="U136" s="45"/>
      <c r="V136" s="12">
        <f>+T136*0</f>
        <v>0</v>
      </c>
      <c r="W136" s="12">
        <f t="shared" si="72"/>
        <v>0</v>
      </c>
      <c r="X136" s="12"/>
      <c r="Y136" s="12">
        <f>+L136+W136</f>
        <v>0</v>
      </c>
      <c r="Z136" s="12"/>
      <c r="AA136" s="12">
        <f t="shared" si="73"/>
        <v>0</v>
      </c>
      <c r="AB136" s="12"/>
      <c r="AC136" s="12">
        <f t="shared" si="74"/>
        <v>0</v>
      </c>
      <c r="AD136" s="42"/>
      <c r="AE136" s="12"/>
    </row>
    <row r="137" spans="1:31" s="46" customFormat="1" ht="21">
      <c r="A137" s="42" t="s">
        <v>0</v>
      </c>
      <c r="B137" s="42" t="s">
        <v>1</v>
      </c>
      <c r="C137" s="45" t="s">
        <v>1336</v>
      </c>
      <c r="D137" s="51" t="s">
        <v>185</v>
      </c>
      <c r="E137" s="29" t="s">
        <v>907</v>
      </c>
      <c r="F137" s="47" t="s">
        <v>137</v>
      </c>
      <c r="G137" s="42"/>
      <c r="H137" s="42"/>
      <c r="I137" s="44">
        <v>20.5</v>
      </c>
      <c r="J137" s="44">
        <f aca="true" t="shared" si="75" ref="J137:J143">+I137+(H137*100)+(G137*400)</f>
        <v>20.5</v>
      </c>
      <c r="K137" s="42">
        <v>12000</v>
      </c>
      <c r="L137" s="42">
        <f aca="true" t="shared" si="76" ref="L137:L143">+K137*J137</f>
        <v>246000</v>
      </c>
      <c r="M137" s="42"/>
      <c r="N137" s="42" t="s">
        <v>62</v>
      </c>
      <c r="O137" s="101" t="s">
        <v>446</v>
      </c>
      <c r="P137" s="45">
        <v>2</v>
      </c>
      <c r="Q137" s="100">
        <v>96</v>
      </c>
      <c r="R137" s="100"/>
      <c r="S137" s="42">
        <v>6750</v>
      </c>
      <c r="T137" s="12">
        <f aca="true" t="shared" si="77" ref="T137:T143">+Q137*S137</f>
        <v>648000</v>
      </c>
      <c r="U137" s="45" t="s">
        <v>187</v>
      </c>
      <c r="V137" s="12">
        <f>+T137*0.08</f>
        <v>51840</v>
      </c>
      <c r="W137" s="12">
        <f aca="true" t="shared" si="78" ref="W137:W143">+T137-V137</f>
        <v>596160</v>
      </c>
      <c r="X137" s="116"/>
      <c r="Y137" s="117">
        <f>+L137+W137</f>
        <v>842160</v>
      </c>
      <c r="Z137" s="12"/>
      <c r="AA137" s="12">
        <f aca="true" t="shared" si="79" ref="AA137:AA143">+Y137-Z137</f>
        <v>842160</v>
      </c>
      <c r="AB137" s="12">
        <v>0.02</v>
      </c>
      <c r="AC137" s="12">
        <f aca="true" t="shared" si="80" ref="AC137:AC143">+AA137*AB137/100</f>
        <v>168.43200000000002</v>
      </c>
      <c r="AD137" s="42"/>
      <c r="AE137" s="12"/>
    </row>
    <row r="138" spans="1:31" s="46" customFormat="1" ht="21">
      <c r="A138" s="42" t="s">
        <v>0</v>
      </c>
      <c r="B138" s="42" t="s">
        <v>1</v>
      </c>
      <c r="C138" s="45" t="s">
        <v>1337</v>
      </c>
      <c r="D138" s="51" t="s">
        <v>186</v>
      </c>
      <c r="E138" s="29" t="s">
        <v>907</v>
      </c>
      <c r="F138" s="47" t="s">
        <v>137</v>
      </c>
      <c r="G138" s="42"/>
      <c r="H138" s="42"/>
      <c r="I138" s="44">
        <v>18</v>
      </c>
      <c r="J138" s="44">
        <f t="shared" si="75"/>
        <v>18</v>
      </c>
      <c r="K138" s="42">
        <v>10000</v>
      </c>
      <c r="L138" s="42">
        <f t="shared" si="76"/>
        <v>180000</v>
      </c>
      <c r="M138" s="42"/>
      <c r="N138" s="42" t="s">
        <v>62</v>
      </c>
      <c r="O138" s="101" t="s">
        <v>446</v>
      </c>
      <c r="P138" s="45">
        <v>2</v>
      </c>
      <c r="Q138" s="100">
        <v>80</v>
      </c>
      <c r="R138" s="100"/>
      <c r="S138" s="42">
        <v>6750</v>
      </c>
      <c r="T138" s="12">
        <f t="shared" si="77"/>
        <v>540000</v>
      </c>
      <c r="U138" s="45" t="s">
        <v>321</v>
      </c>
      <c r="V138" s="12">
        <f>+T138*0.02</f>
        <v>10800</v>
      </c>
      <c r="W138" s="12">
        <f t="shared" si="78"/>
        <v>529200</v>
      </c>
      <c r="X138" s="116"/>
      <c r="Y138" s="117">
        <f>+L138+W138</f>
        <v>709200</v>
      </c>
      <c r="Z138" s="12"/>
      <c r="AA138" s="12">
        <f t="shared" si="79"/>
        <v>709200</v>
      </c>
      <c r="AB138" s="12">
        <v>0.02</v>
      </c>
      <c r="AC138" s="12">
        <f t="shared" si="80"/>
        <v>141.84</v>
      </c>
      <c r="AD138" s="42"/>
      <c r="AE138" s="12"/>
    </row>
    <row r="139" spans="1:31" s="46" customFormat="1" ht="21">
      <c r="A139" s="42"/>
      <c r="B139" s="42"/>
      <c r="C139" s="45"/>
      <c r="D139" s="31"/>
      <c r="E139" s="31"/>
      <c r="F139" s="47"/>
      <c r="G139" s="42"/>
      <c r="H139" s="42"/>
      <c r="I139" s="44"/>
      <c r="J139" s="44">
        <f t="shared" si="75"/>
        <v>0</v>
      </c>
      <c r="K139" s="42"/>
      <c r="L139" s="42">
        <f t="shared" si="76"/>
        <v>0</v>
      </c>
      <c r="M139" s="42"/>
      <c r="N139" s="42"/>
      <c r="O139" s="101"/>
      <c r="P139" s="45"/>
      <c r="Q139" s="42"/>
      <c r="R139" s="42"/>
      <c r="S139" s="42"/>
      <c r="T139" s="12">
        <f t="shared" si="77"/>
        <v>0</v>
      </c>
      <c r="U139" s="45"/>
      <c r="V139" s="12">
        <f>+T139*0</f>
        <v>0</v>
      </c>
      <c r="W139" s="12">
        <f t="shared" si="78"/>
        <v>0</v>
      </c>
      <c r="X139" s="12"/>
      <c r="Y139" s="12">
        <f>+L139+W139</f>
        <v>0</v>
      </c>
      <c r="Z139" s="12"/>
      <c r="AA139" s="12">
        <f t="shared" si="79"/>
        <v>0</v>
      </c>
      <c r="AB139" s="12"/>
      <c r="AC139" s="12">
        <f t="shared" si="80"/>
        <v>0</v>
      </c>
      <c r="AD139" s="42"/>
      <c r="AE139" s="12"/>
    </row>
    <row r="140" spans="1:31" s="46" customFormat="1" ht="21">
      <c r="A140" s="42" t="s">
        <v>0</v>
      </c>
      <c r="B140" s="42" t="s">
        <v>1</v>
      </c>
      <c r="C140" s="45" t="s">
        <v>1338</v>
      </c>
      <c r="D140" s="45" t="s">
        <v>188</v>
      </c>
      <c r="E140" s="30" t="s">
        <v>908</v>
      </c>
      <c r="F140" s="47" t="s">
        <v>167</v>
      </c>
      <c r="G140" s="42"/>
      <c r="H140" s="42"/>
      <c r="I140" s="44">
        <v>30.5</v>
      </c>
      <c r="J140" s="44">
        <f>+I140+(H140*100)+(G140*400)</f>
        <v>30.5</v>
      </c>
      <c r="K140" s="42">
        <v>93500</v>
      </c>
      <c r="L140" s="42">
        <f t="shared" si="76"/>
        <v>2851750</v>
      </c>
      <c r="M140" s="42">
        <v>1</v>
      </c>
      <c r="N140" s="42" t="s">
        <v>60</v>
      </c>
      <c r="O140" s="101" t="s">
        <v>446</v>
      </c>
      <c r="P140" s="45">
        <v>2</v>
      </c>
      <c r="Q140" s="100">
        <v>175.65</v>
      </c>
      <c r="R140" s="100">
        <f>+Q140*100/(Q140+Q141)</f>
        <v>75.4996776273372</v>
      </c>
      <c r="S140" s="42">
        <v>7550</v>
      </c>
      <c r="T140" s="12">
        <f>+Q140*S140</f>
        <v>1326157.5</v>
      </c>
      <c r="U140" s="102" t="s">
        <v>101</v>
      </c>
      <c r="V140" s="12">
        <f>+T140*0.62</f>
        <v>822217.65</v>
      </c>
      <c r="W140" s="12">
        <f>+T140-V140</f>
        <v>503939.85</v>
      </c>
      <c r="X140" s="116"/>
      <c r="Y140" s="117">
        <f>+L140*(R140/100)+W140</f>
        <v>2657001.906737589</v>
      </c>
      <c r="Z140" s="12"/>
      <c r="AA140" s="12">
        <f>+Y140-Z140</f>
        <v>2657001.906737589</v>
      </c>
      <c r="AB140" s="12">
        <v>0.02</v>
      </c>
      <c r="AC140" s="12">
        <f>+AA140*AB140/100</f>
        <v>531.4003813475177</v>
      </c>
      <c r="AD140" s="42"/>
      <c r="AE140" s="12"/>
    </row>
    <row r="141" spans="1:31" s="46" customFormat="1" ht="21">
      <c r="A141" s="42" t="s">
        <v>0</v>
      </c>
      <c r="B141" s="42"/>
      <c r="C141" s="45"/>
      <c r="D141" s="45"/>
      <c r="E141" s="31"/>
      <c r="F141" s="47"/>
      <c r="G141" s="42"/>
      <c r="H141" s="42"/>
      <c r="I141" s="44"/>
      <c r="J141" s="44">
        <f>+I141+(H141*100)+(G141*400)</f>
        <v>0</v>
      </c>
      <c r="K141" s="42"/>
      <c r="L141" s="42">
        <f>+K141*J141</f>
        <v>0</v>
      </c>
      <c r="M141" s="42">
        <v>2</v>
      </c>
      <c r="N141" s="42" t="s">
        <v>60</v>
      </c>
      <c r="O141" s="101" t="s">
        <v>446</v>
      </c>
      <c r="P141" s="45">
        <v>3</v>
      </c>
      <c r="Q141" s="100">
        <v>57</v>
      </c>
      <c r="R141" s="100">
        <f>+Q141*100/(Q140+Q141)</f>
        <v>24.500322372662797</v>
      </c>
      <c r="S141" s="42">
        <v>7550</v>
      </c>
      <c r="T141" s="12">
        <f>+Q141*S141</f>
        <v>430350</v>
      </c>
      <c r="U141" s="102" t="s">
        <v>101</v>
      </c>
      <c r="V141" s="12">
        <f>+T141*0.62</f>
        <v>266817</v>
      </c>
      <c r="W141" s="12">
        <f>+T141-V141</f>
        <v>163533</v>
      </c>
      <c r="X141" s="116"/>
      <c r="Y141" s="117">
        <f>+L140*(R141/100)+W141</f>
        <v>862220.9432624113</v>
      </c>
      <c r="Z141" s="12"/>
      <c r="AA141" s="12">
        <f>+Y141-Z141</f>
        <v>862220.9432624113</v>
      </c>
      <c r="AB141" s="12">
        <v>0.3</v>
      </c>
      <c r="AC141" s="12">
        <f>+AA141*AB141/100</f>
        <v>2586.662829787234</v>
      </c>
      <c r="AD141" s="42"/>
      <c r="AE141" s="12"/>
    </row>
    <row r="142" spans="1:31" s="46" customFormat="1" ht="21">
      <c r="A142" s="42" t="s">
        <v>0</v>
      </c>
      <c r="B142" s="42" t="s">
        <v>1</v>
      </c>
      <c r="C142" s="45" t="s">
        <v>1339</v>
      </c>
      <c r="D142" s="45" t="s">
        <v>189</v>
      </c>
      <c r="E142" s="30" t="s">
        <v>908</v>
      </c>
      <c r="F142" s="47" t="s">
        <v>137</v>
      </c>
      <c r="G142" s="42"/>
      <c r="H142" s="42"/>
      <c r="I142" s="44">
        <v>50.6</v>
      </c>
      <c r="J142" s="44">
        <f>+I142+(H142*100)+(G142*400)</f>
        <v>50.6</v>
      </c>
      <c r="K142" s="42">
        <v>15000</v>
      </c>
      <c r="L142" s="42">
        <f t="shared" si="76"/>
        <v>759000</v>
      </c>
      <c r="M142" s="42"/>
      <c r="N142" s="42" t="s">
        <v>64</v>
      </c>
      <c r="O142" s="101" t="s">
        <v>454</v>
      </c>
      <c r="P142" s="45">
        <v>2</v>
      </c>
      <c r="Q142" s="100">
        <v>126</v>
      </c>
      <c r="R142" s="100"/>
      <c r="S142" s="42">
        <v>6550</v>
      </c>
      <c r="T142" s="12">
        <f>+Q142*S142</f>
        <v>825300</v>
      </c>
      <c r="U142" s="102" t="s">
        <v>455</v>
      </c>
      <c r="V142" s="12">
        <f>+T142*0.93</f>
        <v>767529</v>
      </c>
      <c r="W142" s="12">
        <f>+T142-V142</f>
        <v>57771</v>
      </c>
      <c r="X142" s="116"/>
      <c r="Y142" s="117">
        <f aca="true" t="shared" si="81" ref="Y142:Y156">+L142+W142</f>
        <v>816771</v>
      </c>
      <c r="Z142" s="12"/>
      <c r="AA142" s="12">
        <f>+Y142-Z142</f>
        <v>816771</v>
      </c>
      <c r="AB142" s="12">
        <v>0.02</v>
      </c>
      <c r="AC142" s="12">
        <f>+AA142*AB142/100</f>
        <v>163.3542</v>
      </c>
      <c r="AD142" s="42"/>
      <c r="AE142" s="12"/>
    </row>
    <row r="143" spans="1:31" s="46" customFormat="1" ht="21">
      <c r="A143" s="42"/>
      <c r="B143" s="42"/>
      <c r="C143" s="45"/>
      <c r="D143" s="31"/>
      <c r="E143" s="31"/>
      <c r="F143" s="47"/>
      <c r="G143" s="42"/>
      <c r="H143" s="42"/>
      <c r="I143" s="44"/>
      <c r="J143" s="44">
        <f t="shared" si="75"/>
        <v>0</v>
      </c>
      <c r="K143" s="42"/>
      <c r="L143" s="42">
        <f t="shared" si="76"/>
        <v>0</v>
      </c>
      <c r="M143" s="42"/>
      <c r="N143" s="42"/>
      <c r="O143" s="101"/>
      <c r="P143" s="45"/>
      <c r="Q143" s="42"/>
      <c r="R143" s="42"/>
      <c r="S143" s="42"/>
      <c r="T143" s="12">
        <f t="shared" si="77"/>
        <v>0</v>
      </c>
      <c r="U143" s="45"/>
      <c r="V143" s="12">
        <f aca="true" t="shared" si="82" ref="V143:V148">+T143*0</f>
        <v>0</v>
      </c>
      <c r="W143" s="12">
        <f t="shared" si="78"/>
        <v>0</v>
      </c>
      <c r="X143" s="12"/>
      <c r="Y143" s="12">
        <f t="shared" si="81"/>
        <v>0</v>
      </c>
      <c r="Z143" s="12"/>
      <c r="AA143" s="12">
        <f t="shared" si="79"/>
        <v>0</v>
      </c>
      <c r="AB143" s="12"/>
      <c r="AC143" s="12">
        <f t="shared" si="80"/>
        <v>0</v>
      </c>
      <c r="AD143" s="42"/>
      <c r="AE143" s="12"/>
    </row>
    <row r="144" spans="1:31" s="46" customFormat="1" ht="21">
      <c r="A144" s="42"/>
      <c r="B144" s="42"/>
      <c r="C144" s="45"/>
      <c r="D144" s="31"/>
      <c r="E144" s="31"/>
      <c r="F144" s="47"/>
      <c r="G144" s="42"/>
      <c r="H144" s="42"/>
      <c r="I144" s="44"/>
      <c r="J144" s="44">
        <f aca="true" t="shared" si="83" ref="J144:J151">+I144+(H144*100)+(G144*400)</f>
        <v>0</v>
      </c>
      <c r="K144" s="42"/>
      <c r="L144" s="42">
        <f>+K144*J144</f>
        <v>0</v>
      </c>
      <c r="M144" s="42"/>
      <c r="N144" s="42"/>
      <c r="O144" s="101"/>
      <c r="P144" s="45"/>
      <c r="Q144" s="42"/>
      <c r="R144" s="42"/>
      <c r="S144" s="42"/>
      <c r="T144" s="12">
        <f aca="true" t="shared" si="84" ref="T144:T151">+Q144*S144</f>
        <v>0</v>
      </c>
      <c r="U144" s="45"/>
      <c r="V144" s="12">
        <f t="shared" si="82"/>
        <v>0</v>
      </c>
      <c r="W144" s="12">
        <f aca="true" t="shared" si="85" ref="W144:W151">+T144-V144</f>
        <v>0</v>
      </c>
      <c r="X144" s="12"/>
      <c r="Y144" s="12">
        <f t="shared" si="81"/>
        <v>0</v>
      </c>
      <c r="Z144" s="12"/>
      <c r="AA144" s="12">
        <f aca="true" t="shared" si="86" ref="AA144:AA151">+Y144-Z144</f>
        <v>0</v>
      </c>
      <c r="AB144" s="12"/>
      <c r="AC144" s="12">
        <f aca="true" t="shared" si="87" ref="AC144:AC151">+AA144*AB144/100</f>
        <v>0</v>
      </c>
      <c r="AD144" s="42"/>
      <c r="AE144" s="12"/>
    </row>
    <row r="145" spans="1:31" s="46" customFormat="1" ht="21">
      <c r="A145" s="42" t="s">
        <v>0</v>
      </c>
      <c r="B145" s="42" t="s">
        <v>1</v>
      </c>
      <c r="C145" s="45" t="s">
        <v>1340</v>
      </c>
      <c r="D145" s="45" t="s">
        <v>190</v>
      </c>
      <c r="E145" s="29" t="s">
        <v>907</v>
      </c>
      <c r="F145" s="47" t="s">
        <v>177</v>
      </c>
      <c r="G145" s="42"/>
      <c r="H145" s="42"/>
      <c r="I145" s="44">
        <v>53</v>
      </c>
      <c r="J145" s="44">
        <f t="shared" si="83"/>
        <v>53</v>
      </c>
      <c r="K145" s="42">
        <v>15000</v>
      </c>
      <c r="L145" s="42">
        <f>+K145*J145</f>
        <v>795000</v>
      </c>
      <c r="M145" s="42"/>
      <c r="N145" s="42"/>
      <c r="O145" s="101"/>
      <c r="P145" s="45"/>
      <c r="Q145" s="42"/>
      <c r="R145" s="100"/>
      <c r="S145" s="42"/>
      <c r="T145" s="12">
        <f t="shared" si="84"/>
        <v>0</v>
      </c>
      <c r="U145" s="45"/>
      <c r="V145" s="12">
        <f t="shared" si="82"/>
        <v>0</v>
      </c>
      <c r="W145" s="12">
        <f t="shared" si="85"/>
        <v>0</v>
      </c>
      <c r="X145" s="116"/>
      <c r="Y145" s="117">
        <f t="shared" si="81"/>
        <v>795000</v>
      </c>
      <c r="Z145" s="12">
        <f>+Y145</f>
        <v>795000</v>
      </c>
      <c r="AA145" s="12">
        <f t="shared" si="86"/>
        <v>0</v>
      </c>
      <c r="AB145" s="12"/>
      <c r="AC145" s="12">
        <f t="shared" si="87"/>
        <v>0</v>
      </c>
      <c r="AD145" s="42"/>
      <c r="AE145" s="12"/>
    </row>
    <row r="146" spans="1:31" s="46" customFormat="1" ht="21">
      <c r="A146" s="42" t="s">
        <v>0</v>
      </c>
      <c r="B146" s="42" t="s">
        <v>1</v>
      </c>
      <c r="C146" s="45" t="s">
        <v>1341</v>
      </c>
      <c r="D146" s="45" t="s">
        <v>191</v>
      </c>
      <c r="E146" s="29" t="s">
        <v>907</v>
      </c>
      <c r="F146" s="47" t="s">
        <v>177</v>
      </c>
      <c r="G146" s="42"/>
      <c r="H146" s="42"/>
      <c r="I146" s="44">
        <v>50.9</v>
      </c>
      <c r="J146" s="44">
        <f t="shared" si="83"/>
        <v>50.9</v>
      </c>
      <c r="K146" s="42">
        <v>15000</v>
      </c>
      <c r="L146" s="42">
        <f>+K146*J146</f>
        <v>763500</v>
      </c>
      <c r="M146" s="42"/>
      <c r="N146" s="42"/>
      <c r="O146" s="101"/>
      <c r="P146" s="45"/>
      <c r="Q146" s="42"/>
      <c r="R146" s="100"/>
      <c r="S146" s="42"/>
      <c r="T146" s="12">
        <f t="shared" si="84"/>
        <v>0</v>
      </c>
      <c r="U146" s="45"/>
      <c r="V146" s="12">
        <f t="shared" si="82"/>
        <v>0</v>
      </c>
      <c r="W146" s="12">
        <f t="shared" si="85"/>
        <v>0</v>
      </c>
      <c r="X146" s="116"/>
      <c r="Y146" s="117">
        <f t="shared" si="81"/>
        <v>763500</v>
      </c>
      <c r="Z146" s="12">
        <f>+Y146</f>
        <v>763500</v>
      </c>
      <c r="AA146" s="12">
        <f t="shared" si="86"/>
        <v>0</v>
      </c>
      <c r="AB146" s="12"/>
      <c r="AC146" s="12">
        <f t="shared" si="87"/>
        <v>0</v>
      </c>
      <c r="AD146" s="42"/>
      <c r="AE146" s="12"/>
    </row>
    <row r="147" spans="1:31" s="46" customFormat="1" ht="21">
      <c r="A147" s="42"/>
      <c r="B147" s="42"/>
      <c r="C147" s="45"/>
      <c r="D147" s="31"/>
      <c r="E147" s="31"/>
      <c r="F147" s="47"/>
      <c r="G147" s="42"/>
      <c r="H147" s="42"/>
      <c r="I147" s="44"/>
      <c r="J147" s="44">
        <f t="shared" si="83"/>
        <v>0</v>
      </c>
      <c r="K147" s="42"/>
      <c r="L147" s="42">
        <f aca="true" t="shared" si="88" ref="L147:L152">+K147*J147</f>
        <v>0</v>
      </c>
      <c r="M147" s="42"/>
      <c r="N147" s="42"/>
      <c r="O147" s="101"/>
      <c r="P147" s="45"/>
      <c r="Q147" s="42"/>
      <c r="R147" s="42"/>
      <c r="S147" s="42"/>
      <c r="T147" s="12">
        <f t="shared" si="84"/>
        <v>0</v>
      </c>
      <c r="U147" s="45"/>
      <c r="V147" s="12">
        <f t="shared" si="82"/>
        <v>0</v>
      </c>
      <c r="W147" s="12">
        <f t="shared" si="85"/>
        <v>0</v>
      </c>
      <c r="X147" s="12"/>
      <c r="Y147" s="12">
        <f t="shared" si="81"/>
        <v>0</v>
      </c>
      <c r="Z147" s="12"/>
      <c r="AA147" s="12">
        <f t="shared" si="86"/>
        <v>0</v>
      </c>
      <c r="AB147" s="12"/>
      <c r="AC147" s="12">
        <f t="shared" si="87"/>
        <v>0</v>
      </c>
      <c r="AD147" s="42"/>
      <c r="AE147" s="12"/>
    </row>
    <row r="148" spans="1:31" s="46" customFormat="1" ht="21">
      <c r="A148" s="42"/>
      <c r="B148" s="42"/>
      <c r="C148" s="45"/>
      <c r="D148" s="31"/>
      <c r="E148" s="31"/>
      <c r="F148" s="47"/>
      <c r="G148" s="42"/>
      <c r="H148" s="42"/>
      <c r="I148" s="44"/>
      <c r="J148" s="44">
        <f t="shared" si="83"/>
        <v>0</v>
      </c>
      <c r="K148" s="42"/>
      <c r="L148" s="42">
        <f t="shared" si="88"/>
        <v>0</v>
      </c>
      <c r="M148" s="42"/>
      <c r="N148" s="42"/>
      <c r="O148" s="101"/>
      <c r="P148" s="45"/>
      <c r="Q148" s="42"/>
      <c r="R148" s="42"/>
      <c r="S148" s="42"/>
      <c r="T148" s="12">
        <f t="shared" si="84"/>
        <v>0</v>
      </c>
      <c r="U148" s="45"/>
      <c r="V148" s="12">
        <f t="shared" si="82"/>
        <v>0</v>
      </c>
      <c r="W148" s="12">
        <f t="shared" si="85"/>
        <v>0</v>
      </c>
      <c r="X148" s="12"/>
      <c r="Y148" s="12">
        <f t="shared" si="81"/>
        <v>0</v>
      </c>
      <c r="Z148" s="12"/>
      <c r="AA148" s="12">
        <f t="shared" si="86"/>
        <v>0</v>
      </c>
      <c r="AB148" s="12"/>
      <c r="AC148" s="12">
        <f t="shared" si="87"/>
        <v>0</v>
      </c>
      <c r="AD148" s="42"/>
      <c r="AE148" s="12"/>
    </row>
    <row r="149" spans="1:31" s="46" customFormat="1" ht="21">
      <c r="A149" s="42" t="s">
        <v>0</v>
      </c>
      <c r="B149" s="42" t="s">
        <v>1</v>
      </c>
      <c r="C149" s="45" t="s">
        <v>1342</v>
      </c>
      <c r="D149" s="45" t="s">
        <v>192</v>
      </c>
      <c r="E149" s="10" t="s">
        <v>909</v>
      </c>
      <c r="F149" s="47" t="s">
        <v>137</v>
      </c>
      <c r="G149" s="42"/>
      <c r="H149" s="42"/>
      <c r="I149" s="44">
        <v>82.3</v>
      </c>
      <c r="J149" s="44">
        <f t="shared" si="83"/>
        <v>82.3</v>
      </c>
      <c r="K149" s="42">
        <v>15000</v>
      </c>
      <c r="L149" s="42">
        <f t="shared" si="88"/>
        <v>1234500</v>
      </c>
      <c r="M149" s="42"/>
      <c r="N149" s="42" t="s">
        <v>64</v>
      </c>
      <c r="O149" s="101" t="s">
        <v>446</v>
      </c>
      <c r="P149" s="45">
        <v>2</v>
      </c>
      <c r="Q149" s="100">
        <v>30</v>
      </c>
      <c r="R149" s="100"/>
      <c r="S149" s="42">
        <v>6550</v>
      </c>
      <c r="T149" s="12">
        <f t="shared" si="84"/>
        <v>196500</v>
      </c>
      <c r="U149" s="45" t="s">
        <v>193</v>
      </c>
      <c r="V149" s="12">
        <f>+T149*0.01</f>
        <v>1965</v>
      </c>
      <c r="W149" s="12">
        <f t="shared" si="85"/>
        <v>194535</v>
      </c>
      <c r="X149" s="116"/>
      <c r="Y149" s="117">
        <f t="shared" si="81"/>
        <v>1429035</v>
      </c>
      <c r="Z149" s="12"/>
      <c r="AA149" s="12">
        <f t="shared" si="86"/>
        <v>1429035</v>
      </c>
      <c r="AB149" s="12">
        <v>0.02</v>
      </c>
      <c r="AC149" s="12">
        <f t="shared" si="87"/>
        <v>285.807</v>
      </c>
      <c r="AD149" s="42"/>
      <c r="AE149" s="12"/>
    </row>
    <row r="150" spans="1:31" s="46" customFormat="1" ht="21">
      <c r="A150" s="42"/>
      <c r="B150" s="42"/>
      <c r="C150" s="45"/>
      <c r="D150" s="31"/>
      <c r="E150" s="31"/>
      <c r="F150" s="47"/>
      <c r="G150" s="42"/>
      <c r="H150" s="42"/>
      <c r="I150" s="44"/>
      <c r="J150" s="44">
        <f t="shared" si="83"/>
        <v>0</v>
      </c>
      <c r="K150" s="42"/>
      <c r="L150" s="42">
        <f t="shared" si="88"/>
        <v>0</v>
      </c>
      <c r="M150" s="42"/>
      <c r="N150" s="42"/>
      <c r="O150" s="101"/>
      <c r="P150" s="45"/>
      <c r="Q150" s="42"/>
      <c r="R150" s="42"/>
      <c r="S150" s="42"/>
      <c r="T150" s="12">
        <f t="shared" si="84"/>
        <v>0</v>
      </c>
      <c r="U150" s="45"/>
      <c r="V150" s="12">
        <f>+T150*0</f>
        <v>0</v>
      </c>
      <c r="W150" s="12">
        <f t="shared" si="85"/>
        <v>0</v>
      </c>
      <c r="X150" s="12"/>
      <c r="Y150" s="12">
        <f t="shared" si="81"/>
        <v>0</v>
      </c>
      <c r="Z150" s="12"/>
      <c r="AA150" s="12">
        <f t="shared" si="86"/>
        <v>0</v>
      </c>
      <c r="AB150" s="12"/>
      <c r="AC150" s="12">
        <f t="shared" si="87"/>
        <v>0</v>
      </c>
      <c r="AD150" s="42"/>
      <c r="AE150" s="12"/>
    </row>
    <row r="151" spans="1:31" s="46" customFormat="1" ht="21">
      <c r="A151" s="42"/>
      <c r="B151" s="42"/>
      <c r="C151" s="45"/>
      <c r="D151" s="31"/>
      <c r="E151" s="31"/>
      <c r="F151" s="47"/>
      <c r="G151" s="42"/>
      <c r="H151" s="42"/>
      <c r="I151" s="44"/>
      <c r="J151" s="44">
        <f t="shared" si="83"/>
        <v>0</v>
      </c>
      <c r="K151" s="42"/>
      <c r="L151" s="42">
        <f t="shared" si="88"/>
        <v>0</v>
      </c>
      <c r="M151" s="42"/>
      <c r="N151" s="42"/>
      <c r="O151" s="101"/>
      <c r="P151" s="45"/>
      <c r="Q151" s="42"/>
      <c r="R151" s="42"/>
      <c r="S151" s="42"/>
      <c r="T151" s="12">
        <f t="shared" si="84"/>
        <v>0</v>
      </c>
      <c r="U151" s="45"/>
      <c r="V151" s="12">
        <f>+T151*0</f>
        <v>0</v>
      </c>
      <c r="W151" s="12">
        <f t="shared" si="85"/>
        <v>0</v>
      </c>
      <c r="X151" s="12"/>
      <c r="Y151" s="12">
        <f t="shared" si="81"/>
        <v>0</v>
      </c>
      <c r="Z151" s="12"/>
      <c r="AA151" s="12">
        <f t="shared" si="86"/>
        <v>0</v>
      </c>
      <c r="AB151" s="12"/>
      <c r="AC151" s="12">
        <f t="shared" si="87"/>
        <v>0</v>
      </c>
      <c r="AD151" s="42"/>
      <c r="AE151" s="12"/>
    </row>
    <row r="152" spans="1:31" s="46" customFormat="1" ht="21">
      <c r="A152" s="42" t="s">
        <v>0</v>
      </c>
      <c r="B152" s="42" t="s">
        <v>1</v>
      </c>
      <c r="C152" s="45" t="s">
        <v>1343</v>
      </c>
      <c r="D152" s="45" t="s">
        <v>194</v>
      </c>
      <c r="E152" s="10" t="s">
        <v>909</v>
      </c>
      <c r="F152" s="47" t="s">
        <v>137</v>
      </c>
      <c r="G152" s="42"/>
      <c r="H152" s="42"/>
      <c r="I152" s="44">
        <v>19.5</v>
      </c>
      <c r="J152" s="44">
        <f aca="true" t="shared" si="89" ref="J152:J158">+I152+(H152*100)+(G152*400)</f>
        <v>19.5</v>
      </c>
      <c r="K152" s="42">
        <v>10000</v>
      </c>
      <c r="L152" s="42">
        <f t="shared" si="88"/>
        <v>195000</v>
      </c>
      <c r="M152" s="42"/>
      <c r="N152" s="42" t="s">
        <v>61</v>
      </c>
      <c r="O152" s="101" t="s">
        <v>446</v>
      </c>
      <c r="P152" s="45">
        <v>2</v>
      </c>
      <c r="Q152" s="100">
        <v>78</v>
      </c>
      <c r="R152" s="100"/>
      <c r="S152" s="42">
        <v>6650</v>
      </c>
      <c r="T152" s="12">
        <f aca="true" t="shared" si="90" ref="T152:T158">+Q152*S152</f>
        <v>518700</v>
      </c>
      <c r="U152" s="102" t="s">
        <v>91</v>
      </c>
      <c r="V152" s="12">
        <f>+T152*0.4</f>
        <v>207480</v>
      </c>
      <c r="W152" s="12">
        <f aca="true" t="shared" si="91" ref="W152:W158">+T152-V152</f>
        <v>311220</v>
      </c>
      <c r="X152" s="116"/>
      <c r="Y152" s="117">
        <f t="shared" si="81"/>
        <v>506220</v>
      </c>
      <c r="Z152" s="12"/>
      <c r="AA152" s="12">
        <f aca="true" t="shared" si="92" ref="AA152:AA158">+Y152-Z152</f>
        <v>506220</v>
      </c>
      <c r="AB152" s="12">
        <v>0.02</v>
      </c>
      <c r="AC152" s="12">
        <f aca="true" t="shared" si="93" ref="AC152:AC158">+AA152*AB152/100</f>
        <v>101.244</v>
      </c>
      <c r="AD152" s="42"/>
      <c r="AE152" s="12"/>
    </row>
    <row r="153" spans="1:31" s="46" customFormat="1" ht="21">
      <c r="A153" s="42" t="s">
        <v>0</v>
      </c>
      <c r="B153" s="42" t="s">
        <v>152</v>
      </c>
      <c r="C153" s="45" t="s">
        <v>1344</v>
      </c>
      <c r="D153" s="51" t="s">
        <v>195</v>
      </c>
      <c r="E153" s="29" t="s">
        <v>907</v>
      </c>
      <c r="F153" s="47" t="s">
        <v>137</v>
      </c>
      <c r="G153" s="42"/>
      <c r="H153" s="42"/>
      <c r="I153" s="44">
        <v>10</v>
      </c>
      <c r="J153" s="44">
        <f t="shared" si="89"/>
        <v>10</v>
      </c>
      <c r="K153" s="42">
        <v>200</v>
      </c>
      <c r="L153" s="42">
        <f aca="true" t="shared" si="94" ref="L153:L164">+K153*J153</f>
        <v>2000</v>
      </c>
      <c r="M153" s="42"/>
      <c r="N153" s="42" t="s">
        <v>64</v>
      </c>
      <c r="O153" s="101" t="s">
        <v>446</v>
      </c>
      <c r="P153" s="45">
        <v>2</v>
      </c>
      <c r="Q153" s="100">
        <v>40</v>
      </c>
      <c r="R153" s="100"/>
      <c r="S153" s="42">
        <v>6550</v>
      </c>
      <c r="T153" s="12">
        <f t="shared" si="90"/>
        <v>262000</v>
      </c>
      <c r="U153" s="102" t="s">
        <v>91</v>
      </c>
      <c r="V153" s="12">
        <f>+T153*0.4</f>
        <v>104800</v>
      </c>
      <c r="W153" s="12">
        <f t="shared" si="91"/>
        <v>157200</v>
      </c>
      <c r="X153" s="116"/>
      <c r="Y153" s="117">
        <f t="shared" si="81"/>
        <v>159200</v>
      </c>
      <c r="Z153" s="12"/>
      <c r="AA153" s="12">
        <f t="shared" si="92"/>
        <v>159200</v>
      </c>
      <c r="AB153" s="12">
        <v>0.02</v>
      </c>
      <c r="AC153" s="12">
        <f t="shared" si="93"/>
        <v>31.84</v>
      </c>
      <c r="AD153" s="42"/>
      <c r="AE153" s="12"/>
    </row>
    <row r="154" spans="1:31" s="46" customFormat="1" ht="21">
      <c r="A154" s="42" t="s">
        <v>0</v>
      </c>
      <c r="B154" s="42"/>
      <c r="C154" s="45"/>
      <c r="D154" s="45"/>
      <c r="E154" s="31"/>
      <c r="F154" s="47"/>
      <c r="G154" s="42">
        <v>2</v>
      </c>
      <c r="H154" s="42">
        <v>1</v>
      </c>
      <c r="I154" s="44">
        <v>91</v>
      </c>
      <c r="J154" s="44">
        <f>+I154+(H154*100)+(G154*400)</f>
        <v>991</v>
      </c>
      <c r="K154" s="42">
        <v>200</v>
      </c>
      <c r="L154" s="42">
        <f>+K154*J154</f>
        <v>198200</v>
      </c>
      <c r="M154" s="42"/>
      <c r="N154" s="42"/>
      <c r="O154" s="101"/>
      <c r="P154" s="45"/>
      <c r="Q154" s="42"/>
      <c r="R154" s="100"/>
      <c r="S154" s="42"/>
      <c r="T154" s="12">
        <f>+Q154*S154</f>
        <v>0</v>
      </c>
      <c r="U154" s="45"/>
      <c r="V154" s="12">
        <f>+T154*0</f>
        <v>0</v>
      </c>
      <c r="W154" s="12">
        <f>+T154-V154</f>
        <v>0</v>
      </c>
      <c r="X154" s="116"/>
      <c r="Y154" s="117">
        <f t="shared" si="81"/>
        <v>198200</v>
      </c>
      <c r="Z154" s="12"/>
      <c r="AA154" s="12">
        <f>+Y154-Z154</f>
        <v>198200</v>
      </c>
      <c r="AB154" s="12">
        <v>0.01</v>
      </c>
      <c r="AC154" s="12">
        <f>+AA154*AB154/100</f>
        <v>19.82</v>
      </c>
      <c r="AD154" s="42"/>
      <c r="AE154" s="12"/>
    </row>
    <row r="155" spans="1:31" s="46" customFormat="1" ht="21">
      <c r="A155" s="42" t="s">
        <v>0</v>
      </c>
      <c r="B155" s="42" t="s">
        <v>152</v>
      </c>
      <c r="C155" s="45" t="s">
        <v>1345</v>
      </c>
      <c r="D155" s="51" t="s">
        <v>196</v>
      </c>
      <c r="E155" s="29" t="s">
        <v>907</v>
      </c>
      <c r="F155" s="47" t="s">
        <v>177</v>
      </c>
      <c r="G155" s="42"/>
      <c r="H155" s="42">
        <v>3</v>
      </c>
      <c r="I155" s="44">
        <v>40</v>
      </c>
      <c r="J155" s="44">
        <f t="shared" si="89"/>
        <v>340</v>
      </c>
      <c r="K155" s="42">
        <v>200</v>
      </c>
      <c r="L155" s="42">
        <f t="shared" si="94"/>
        <v>68000</v>
      </c>
      <c r="M155" s="42"/>
      <c r="N155" s="42"/>
      <c r="O155" s="101"/>
      <c r="P155" s="45"/>
      <c r="Q155" s="42"/>
      <c r="R155" s="100"/>
      <c r="S155" s="42"/>
      <c r="T155" s="12">
        <f t="shared" si="90"/>
        <v>0</v>
      </c>
      <c r="U155" s="45"/>
      <c r="V155" s="12">
        <f>+T155*0</f>
        <v>0</v>
      </c>
      <c r="W155" s="12">
        <f t="shared" si="91"/>
        <v>0</v>
      </c>
      <c r="X155" s="116"/>
      <c r="Y155" s="117">
        <f t="shared" si="81"/>
        <v>68000</v>
      </c>
      <c r="Z155" s="12"/>
      <c r="AA155" s="12">
        <f t="shared" si="92"/>
        <v>68000</v>
      </c>
      <c r="AB155" s="12">
        <v>0.01</v>
      </c>
      <c r="AC155" s="12">
        <f t="shared" si="93"/>
        <v>6.8</v>
      </c>
      <c r="AD155" s="42"/>
      <c r="AE155" s="12"/>
    </row>
    <row r="156" spans="1:31" s="46" customFormat="1" ht="21">
      <c r="A156" s="42" t="s">
        <v>0</v>
      </c>
      <c r="B156" s="42" t="s">
        <v>152</v>
      </c>
      <c r="C156" s="45" t="s">
        <v>1346</v>
      </c>
      <c r="D156" s="51" t="s">
        <v>197</v>
      </c>
      <c r="E156" s="29" t="s">
        <v>907</v>
      </c>
      <c r="F156" s="47" t="s">
        <v>140</v>
      </c>
      <c r="G156" s="42"/>
      <c r="H156" s="42"/>
      <c r="I156" s="44">
        <v>11</v>
      </c>
      <c r="J156" s="44">
        <f t="shared" si="89"/>
        <v>11</v>
      </c>
      <c r="K156" s="42">
        <v>500</v>
      </c>
      <c r="L156" s="42">
        <f t="shared" si="94"/>
        <v>5500</v>
      </c>
      <c r="M156" s="42"/>
      <c r="N156" s="42"/>
      <c r="O156" s="101"/>
      <c r="P156" s="45"/>
      <c r="Q156" s="42"/>
      <c r="R156" s="100"/>
      <c r="S156" s="42"/>
      <c r="T156" s="12">
        <f t="shared" si="90"/>
        <v>0</v>
      </c>
      <c r="U156" s="45"/>
      <c r="V156" s="12">
        <f>+T156*0</f>
        <v>0</v>
      </c>
      <c r="W156" s="12">
        <f t="shared" si="91"/>
        <v>0</v>
      </c>
      <c r="X156" s="116"/>
      <c r="Y156" s="117">
        <f t="shared" si="81"/>
        <v>5500</v>
      </c>
      <c r="Z156" s="12"/>
      <c r="AA156" s="12">
        <f t="shared" si="92"/>
        <v>5500</v>
      </c>
      <c r="AB156" s="12">
        <v>0.3</v>
      </c>
      <c r="AC156" s="12">
        <f t="shared" si="93"/>
        <v>16.5</v>
      </c>
      <c r="AD156" s="42"/>
      <c r="AE156" s="12"/>
    </row>
    <row r="157" spans="1:31" s="46" customFormat="1" ht="21">
      <c r="A157" s="42" t="s">
        <v>0</v>
      </c>
      <c r="B157" s="42" t="s">
        <v>152</v>
      </c>
      <c r="C157" s="45" t="s">
        <v>1347</v>
      </c>
      <c r="D157" s="51" t="s">
        <v>198</v>
      </c>
      <c r="E157" s="29" t="s">
        <v>907</v>
      </c>
      <c r="F157" s="47" t="s">
        <v>137</v>
      </c>
      <c r="G157" s="42">
        <v>2</v>
      </c>
      <c r="H157" s="42"/>
      <c r="I157" s="44">
        <v>57</v>
      </c>
      <c r="J157" s="44">
        <f t="shared" si="89"/>
        <v>857</v>
      </c>
      <c r="K157" s="42">
        <v>200</v>
      </c>
      <c r="L157" s="42">
        <f>+K157*J157</f>
        <v>171400</v>
      </c>
      <c r="M157" s="42">
        <v>1</v>
      </c>
      <c r="N157" s="42" t="s">
        <v>199</v>
      </c>
      <c r="O157" s="101" t="s">
        <v>446</v>
      </c>
      <c r="P157" s="45">
        <v>2</v>
      </c>
      <c r="Q157" s="100">
        <f>56*9</f>
        <v>504</v>
      </c>
      <c r="R157" s="100">
        <v>79.74</v>
      </c>
      <c r="S157" s="42">
        <v>6750</v>
      </c>
      <c r="T157" s="12">
        <f t="shared" si="90"/>
        <v>3402000</v>
      </c>
      <c r="U157" s="102" t="s">
        <v>91</v>
      </c>
      <c r="V157" s="12">
        <f>+T157*0.4</f>
        <v>1360800</v>
      </c>
      <c r="W157" s="12">
        <f t="shared" si="91"/>
        <v>2041200</v>
      </c>
      <c r="X157" s="116"/>
      <c r="Y157" s="117">
        <f>+L157*(R157/100)+W157</f>
        <v>2177874.36</v>
      </c>
      <c r="Z157" s="12"/>
      <c r="AA157" s="12">
        <f t="shared" si="92"/>
        <v>2177874.36</v>
      </c>
      <c r="AB157" s="12">
        <v>0.02</v>
      </c>
      <c r="AC157" s="12">
        <f t="shared" si="93"/>
        <v>435.57487199999997</v>
      </c>
      <c r="AD157" s="42"/>
      <c r="AE157" s="12"/>
    </row>
    <row r="158" spans="1:31" s="46" customFormat="1" ht="21">
      <c r="A158" s="42" t="s">
        <v>0</v>
      </c>
      <c r="B158" s="42"/>
      <c r="C158" s="45"/>
      <c r="D158" s="45"/>
      <c r="E158" s="31"/>
      <c r="F158" s="47"/>
      <c r="G158" s="42"/>
      <c r="H158" s="42"/>
      <c r="I158" s="44"/>
      <c r="J158" s="44">
        <f t="shared" si="89"/>
        <v>0</v>
      </c>
      <c r="K158" s="42"/>
      <c r="L158" s="42">
        <f>+K158*J158</f>
        <v>0</v>
      </c>
      <c r="M158" s="42">
        <v>2</v>
      </c>
      <c r="N158" s="42" t="s">
        <v>64</v>
      </c>
      <c r="O158" s="101" t="s">
        <v>447</v>
      </c>
      <c r="P158" s="45">
        <v>2</v>
      </c>
      <c r="Q158" s="100">
        <v>128</v>
      </c>
      <c r="R158" s="100">
        <v>20.26</v>
      </c>
      <c r="S158" s="42">
        <v>6550</v>
      </c>
      <c r="T158" s="12">
        <f t="shared" si="90"/>
        <v>838400</v>
      </c>
      <c r="U158" s="102" t="s">
        <v>448</v>
      </c>
      <c r="V158" s="12">
        <f>+T158*0.85</f>
        <v>712640</v>
      </c>
      <c r="W158" s="12">
        <f t="shared" si="91"/>
        <v>125760</v>
      </c>
      <c r="X158" s="116"/>
      <c r="Y158" s="117">
        <f>+L157*(R158/100)+W158</f>
        <v>160485.64</v>
      </c>
      <c r="Z158" s="12">
        <f>+Y158</f>
        <v>160485.64</v>
      </c>
      <c r="AA158" s="12">
        <f t="shared" si="92"/>
        <v>0</v>
      </c>
      <c r="AB158" s="12"/>
      <c r="AC158" s="12">
        <f t="shared" si="93"/>
        <v>0</v>
      </c>
      <c r="AD158" s="42" t="s">
        <v>906</v>
      </c>
      <c r="AE158" s="12"/>
    </row>
    <row r="159" spans="1:31" s="46" customFormat="1" ht="21">
      <c r="A159" s="42"/>
      <c r="B159" s="42"/>
      <c r="C159" s="45"/>
      <c r="D159" s="31"/>
      <c r="E159" s="31"/>
      <c r="F159" s="47"/>
      <c r="G159" s="42"/>
      <c r="H159" s="42"/>
      <c r="I159" s="44"/>
      <c r="J159" s="44">
        <f aca="true" t="shared" si="95" ref="J159:J172">+I159+(H159*100)+(G159*400)</f>
        <v>0</v>
      </c>
      <c r="K159" s="42"/>
      <c r="L159" s="42">
        <f>+K159*J159</f>
        <v>0</v>
      </c>
      <c r="M159" s="42"/>
      <c r="N159" s="42"/>
      <c r="O159" s="101"/>
      <c r="P159" s="45"/>
      <c r="Q159" s="42"/>
      <c r="R159" s="42"/>
      <c r="S159" s="42"/>
      <c r="T159" s="12">
        <f aca="true" t="shared" si="96" ref="T159:T172">+Q159*S159</f>
        <v>0</v>
      </c>
      <c r="U159" s="45"/>
      <c r="V159" s="12">
        <f>+T159*0</f>
        <v>0</v>
      </c>
      <c r="W159" s="12">
        <f aca="true" t="shared" si="97" ref="W159:W172">+T159-V159</f>
        <v>0</v>
      </c>
      <c r="X159" s="12"/>
      <c r="Y159" s="12">
        <f aca="true" t="shared" si="98" ref="Y159:Y172">+L159+W159</f>
        <v>0</v>
      </c>
      <c r="Z159" s="12"/>
      <c r="AA159" s="12">
        <f aca="true" t="shared" si="99" ref="AA159:AA173">+Y159-Z159</f>
        <v>0</v>
      </c>
      <c r="AB159" s="12"/>
      <c r="AC159" s="12">
        <f aca="true" t="shared" si="100" ref="AC159:AC172">+AA159*AB159/100</f>
        <v>0</v>
      </c>
      <c r="AD159" s="42"/>
      <c r="AE159" s="12"/>
    </row>
    <row r="160" spans="1:31" s="46" customFormat="1" ht="21">
      <c r="A160" s="42"/>
      <c r="B160" s="42"/>
      <c r="C160" s="45"/>
      <c r="D160" s="31"/>
      <c r="E160" s="31"/>
      <c r="F160" s="47"/>
      <c r="G160" s="42"/>
      <c r="H160" s="42"/>
      <c r="I160" s="44"/>
      <c r="J160" s="44">
        <f t="shared" si="95"/>
        <v>0</v>
      </c>
      <c r="K160" s="42"/>
      <c r="L160" s="42">
        <f>+K160*J160</f>
        <v>0</v>
      </c>
      <c r="M160" s="42"/>
      <c r="N160" s="42"/>
      <c r="O160" s="101"/>
      <c r="P160" s="45"/>
      <c r="Q160" s="42"/>
      <c r="R160" s="42"/>
      <c r="S160" s="42"/>
      <c r="T160" s="12">
        <f t="shared" si="96"/>
        <v>0</v>
      </c>
      <c r="U160" s="45"/>
      <c r="V160" s="12">
        <f>+T160*0</f>
        <v>0</v>
      </c>
      <c r="W160" s="12">
        <f t="shared" si="97"/>
        <v>0</v>
      </c>
      <c r="X160" s="12"/>
      <c r="Y160" s="12">
        <f t="shared" si="98"/>
        <v>0</v>
      </c>
      <c r="Z160" s="12"/>
      <c r="AA160" s="12">
        <f t="shared" si="99"/>
        <v>0</v>
      </c>
      <c r="AB160" s="12"/>
      <c r="AC160" s="12">
        <f t="shared" si="100"/>
        <v>0</v>
      </c>
      <c r="AD160" s="42"/>
      <c r="AE160" s="12"/>
    </row>
    <row r="161" spans="1:31" s="46" customFormat="1" ht="21">
      <c r="A161" s="42" t="s">
        <v>0</v>
      </c>
      <c r="B161" s="42" t="s">
        <v>1</v>
      </c>
      <c r="C161" s="45" t="s">
        <v>1348</v>
      </c>
      <c r="D161" s="45" t="s">
        <v>200</v>
      </c>
      <c r="E161" s="10" t="s">
        <v>909</v>
      </c>
      <c r="F161" s="47" t="s">
        <v>140</v>
      </c>
      <c r="G161" s="42">
        <v>6</v>
      </c>
      <c r="H161" s="42">
        <v>2</v>
      </c>
      <c r="I161" s="44">
        <v>13.2</v>
      </c>
      <c r="J161" s="44">
        <f t="shared" si="95"/>
        <v>2613.2</v>
      </c>
      <c r="K161" s="42">
        <v>1500</v>
      </c>
      <c r="L161" s="42">
        <f t="shared" si="94"/>
        <v>3919799.9999999995</v>
      </c>
      <c r="M161" s="42"/>
      <c r="N161" s="42"/>
      <c r="O161" s="101"/>
      <c r="P161" s="45"/>
      <c r="Q161" s="42"/>
      <c r="R161" s="100"/>
      <c r="S161" s="42"/>
      <c r="T161" s="12">
        <f t="shared" si="96"/>
        <v>0</v>
      </c>
      <c r="U161" s="45"/>
      <c r="V161" s="12">
        <f>+T161*0</f>
        <v>0</v>
      </c>
      <c r="W161" s="12">
        <f t="shared" si="97"/>
        <v>0</v>
      </c>
      <c r="X161" s="116"/>
      <c r="Y161" s="117">
        <f t="shared" si="98"/>
        <v>3919799.9999999995</v>
      </c>
      <c r="Z161" s="12"/>
      <c r="AA161" s="12">
        <f t="shared" si="99"/>
        <v>3919799.9999999995</v>
      </c>
      <c r="AB161" s="12">
        <v>0.3</v>
      </c>
      <c r="AC161" s="12">
        <f t="shared" si="100"/>
        <v>11759.399999999998</v>
      </c>
      <c r="AD161" s="42"/>
      <c r="AE161" s="12"/>
    </row>
    <row r="162" spans="1:31" s="46" customFormat="1" ht="21">
      <c r="A162" s="42"/>
      <c r="B162" s="42"/>
      <c r="C162" s="45"/>
      <c r="D162" s="31"/>
      <c r="E162" s="31"/>
      <c r="F162" s="47"/>
      <c r="G162" s="42"/>
      <c r="H162" s="42"/>
      <c r="I162" s="44"/>
      <c r="J162" s="44">
        <f t="shared" si="95"/>
        <v>0</v>
      </c>
      <c r="K162" s="42"/>
      <c r="L162" s="42">
        <f t="shared" si="94"/>
        <v>0</v>
      </c>
      <c r="M162" s="42"/>
      <c r="N162" s="42"/>
      <c r="O162" s="101"/>
      <c r="P162" s="45"/>
      <c r="Q162" s="42"/>
      <c r="R162" s="42"/>
      <c r="S162" s="42"/>
      <c r="T162" s="12">
        <f t="shared" si="96"/>
        <v>0</v>
      </c>
      <c r="U162" s="45"/>
      <c r="V162" s="12">
        <f>+T162*0</f>
        <v>0</v>
      </c>
      <c r="W162" s="12">
        <f t="shared" si="97"/>
        <v>0</v>
      </c>
      <c r="X162" s="12"/>
      <c r="Y162" s="12">
        <f t="shared" si="98"/>
        <v>0</v>
      </c>
      <c r="Z162" s="12"/>
      <c r="AA162" s="12">
        <f t="shared" si="99"/>
        <v>0</v>
      </c>
      <c r="AB162" s="12"/>
      <c r="AC162" s="12">
        <f t="shared" si="100"/>
        <v>0</v>
      </c>
      <c r="AD162" s="42"/>
      <c r="AE162" s="12"/>
    </row>
    <row r="163" spans="1:31" s="46" customFormat="1" ht="21">
      <c r="A163" s="42"/>
      <c r="B163" s="42"/>
      <c r="C163" s="45"/>
      <c r="D163" s="31"/>
      <c r="E163" s="31"/>
      <c r="F163" s="47"/>
      <c r="G163" s="42"/>
      <c r="H163" s="42"/>
      <c r="I163" s="44"/>
      <c r="J163" s="44">
        <f t="shared" si="95"/>
        <v>0</v>
      </c>
      <c r="K163" s="42"/>
      <c r="L163" s="42">
        <f t="shared" si="94"/>
        <v>0</v>
      </c>
      <c r="M163" s="42"/>
      <c r="N163" s="42"/>
      <c r="O163" s="101"/>
      <c r="P163" s="45"/>
      <c r="Q163" s="42"/>
      <c r="R163" s="42"/>
      <c r="S163" s="42"/>
      <c r="T163" s="12">
        <f t="shared" si="96"/>
        <v>0</v>
      </c>
      <c r="U163" s="45"/>
      <c r="V163" s="12">
        <f>+T163*0</f>
        <v>0</v>
      </c>
      <c r="W163" s="12">
        <f t="shared" si="97"/>
        <v>0</v>
      </c>
      <c r="X163" s="12"/>
      <c r="Y163" s="12">
        <f t="shared" si="98"/>
        <v>0</v>
      </c>
      <c r="Z163" s="12"/>
      <c r="AA163" s="12">
        <f t="shared" si="99"/>
        <v>0</v>
      </c>
      <c r="AB163" s="12"/>
      <c r="AC163" s="12">
        <f t="shared" si="100"/>
        <v>0</v>
      </c>
      <c r="AD163" s="42"/>
      <c r="AE163" s="12"/>
    </row>
    <row r="164" spans="1:31" s="46" customFormat="1" ht="21">
      <c r="A164" s="42" t="s">
        <v>0</v>
      </c>
      <c r="B164" s="42" t="s">
        <v>1</v>
      </c>
      <c r="C164" s="45" t="s">
        <v>1349</v>
      </c>
      <c r="D164" s="51" t="s">
        <v>201</v>
      </c>
      <c r="E164" s="29" t="s">
        <v>907</v>
      </c>
      <c r="F164" s="47" t="s">
        <v>137</v>
      </c>
      <c r="G164" s="42"/>
      <c r="H164" s="42"/>
      <c r="I164" s="44">
        <v>38.7</v>
      </c>
      <c r="J164" s="44">
        <f t="shared" si="95"/>
        <v>38.7</v>
      </c>
      <c r="K164" s="42">
        <v>22500</v>
      </c>
      <c r="L164" s="42">
        <f t="shared" si="94"/>
        <v>870750.0000000001</v>
      </c>
      <c r="M164" s="42"/>
      <c r="N164" s="42" t="s">
        <v>60</v>
      </c>
      <c r="O164" s="101" t="s">
        <v>446</v>
      </c>
      <c r="P164" s="45">
        <v>2</v>
      </c>
      <c r="Q164" s="100">
        <v>48</v>
      </c>
      <c r="R164" s="100"/>
      <c r="S164" s="42">
        <v>7550</v>
      </c>
      <c r="T164" s="12">
        <f t="shared" si="96"/>
        <v>362400</v>
      </c>
      <c r="U164" s="45" t="s">
        <v>73</v>
      </c>
      <c r="V164" s="12">
        <f>+T164*0.05</f>
        <v>18120</v>
      </c>
      <c r="W164" s="12">
        <f t="shared" si="97"/>
        <v>344280</v>
      </c>
      <c r="X164" s="116"/>
      <c r="Y164" s="117">
        <f t="shared" si="98"/>
        <v>1215030</v>
      </c>
      <c r="Z164" s="12"/>
      <c r="AA164" s="12">
        <f t="shared" si="99"/>
        <v>1215030</v>
      </c>
      <c r="AB164" s="12">
        <v>0.02</v>
      </c>
      <c r="AC164" s="12">
        <f t="shared" si="100"/>
        <v>243.00600000000003</v>
      </c>
      <c r="AD164" s="42"/>
      <c r="AE164" s="12"/>
    </row>
    <row r="165" spans="1:31" s="46" customFormat="1" ht="21">
      <c r="A165" s="42" t="s">
        <v>0</v>
      </c>
      <c r="B165" s="42" t="s">
        <v>1</v>
      </c>
      <c r="C165" s="45" t="s">
        <v>1350</v>
      </c>
      <c r="D165" s="45" t="s">
        <v>202</v>
      </c>
      <c r="E165" s="29" t="s">
        <v>907</v>
      </c>
      <c r="F165" s="47" t="s">
        <v>137</v>
      </c>
      <c r="G165" s="42"/>
      <c r="H165" s="42"/>
      <c r="I165" s="44">
        <v>22.5</v>
      </c>
      <c r="J165" s="44">
        <f t="shared" si="95"/>
        <v>22.5</v>
      </c>
      <c r="K165" s="42">
        <v>20000</v>
      </c>
      <c r="L165" s="42">
        <f aca="true" t="shared" si="101" ref="L165:L197">+K165*J165</f>
        <v>450000</v>
      </c>
      <c r="M165" s="42"/>
      <c r="N165" s="42" t="s">
        <v>60</v>
      </c>
      <c r="O165" s="101" t="s">
        <v>446</v>
      </c>
      <c r="P165" s="45">
        <v>2</v>
      </c>
      <c r="Q165" s="100">
        <v>168</v>
      </c>
      <c r="R165" s="100"/>
      <c r="S165" s="42">
        <v>7550</v>
      </c>
      <c r="T165" s="12">
        <f t="shared" si="96"/>
        <v>1268400</v>
      </c>
      <c r="U165" s="45" t="s">
        <v>73</v>
      </c>
      <c r="V165" s="12">
        <f>+T165*0.05</f>
        <v>63420</v>
      </c>
      <c r="W165" s="12">
        <f t="shared" si="97"/>
        <v>1204980</v>
      </c>
      <c r="X165" s="116"/>
      <c r="Y165" s="117">
        <f t="shared" si="98"/>
        <v>1654980</v>
      </c>
      <c r="Z165" s="12"/>
      <c r="AA165" s="12">
        <f t="shared" si="99"/>
        <v>1654980</v>
      </c>
      <c r="AB165" s="12">
        <v>0.02</v>
      </c>
      <c r="AC165" s="12">
        <f t="shared" si="100"/>
        <v>330.996</v>
      </c>
      <c r="AD165" s="42"/>
      <c r="AE165" s="12"/>
    </row>
    <row r="166" spans="1:31" s="46" customFormat="1" ht="21">
      <c r="A166" s="42" t="s">
        <v>0</v>
      </c>
      <c r="B166" s="42" t="s">
        <v>1</v>
      </c>
      <c r="C166" s="45" t="s">
        <v>1351</v>
      </c>
      <c r="D166" s="51" t="s">
        <v>203</v>
      </c>
      <c r="E166" s="29" t="s">
        <v>907</v>
      </c>
      <c r="F166" s="47" t="s">
        <v>137</v>
      </c>
      <c r="G166" s="42"/>
      <c r="H166" s="42"/>
      <c r="I166" s="44">
        <v>33</v>
      </c>
      <c r="J166" s="44">
        <f t="shared" si="95"/>
        <v>33</v>
      </c>
      <c r="K166" s="42">
        <v>22500</v>
      </c>
      <c r="L166" s="42">
        <f t="shared" si="101"/>
        <v>742500</v>
      </c>
      <c r="M166" s="42"/>
      <c r="N166" s="42" t="s">
        <v>117</v>
      </c>
      <c r="O166" s="104" t="s">
        <v>446</v>
      </c>
      <c r="P166" s="45">
        <v>2</v>
      </c>
      <c r="Q166" s="104">
        <v>80</v>
      </c>
      <c r="R166" s="100"/>
      <c r="S166" s="42">
        <v>2500</v>
      </c>
      <c r="T166" s="12">
        <f t="shared" si="96"/>
        <v>200000</v>
      </c>
      <c r="U166" s="45" t="s">
        <v>73</v>
      </c>
      <c r="V166" s="12">
        <f>+T166*0.05</f>
        <v>10000</v>
      </c>
      <c r="W166" s="12">
        <f t="shared" si="97"/>
        <v>190000</v>
      </c>
      <c r="X166" s="116"/>
      <c r="Y166" s="117">
        <f t="shared" si="98"/>
        <v>932500</v>
      </c>
      <c r="Z166" s="12"/>
      <c r="AA166" s="12">
        <f t="shared" si="99"/>
        <v>932500</v>
      </c>
      <c r="AB166" s="12">
        <v>0.02</v>
      </c>
      <c r="AC166" s="12">
        <f t="shared" si="100"/>
        <v>186.5</v>
      </c>
      <c r="AD166" s="42"/>
      <c r="AE166" s="12"/>
    </row>
    <row r="167" spans="1:31" s="46" customFormat="1" ht="21">
      <c r="A167" s="42" t="s">
        <v>0</v>
      </c>
      <c r="B167" s="42" t="s">
        <v>1</v>
      </c>
      <c r="C167" s="45" t="s">
        <v>1352</v>
      </c>
      <c r="D167" s="51" t="s">
        <v>204</v>
      </c>
      <c r="E167" s="29" t="s">
        <v>907</v>
      </c>
      <c r="F167" s="47" t="s">
        <v>137</v>
      </c>
      <c r="G167" s="42"/>
      <c r="H167" s="42"/>
      <c r="I167" s="44">
        <v>18</v>
      </c>
      <c r="J167" s="44">
        <f t="shared" si="95"/>
        <v>18</v>
      </c>
      <c r="K167" s="42">
        <v>12000</v>
      </c>
      <c r="L167" s="42">
        <f t="shared" si="101"/>
        <v>216000</v>
      </c>
      <c r="M167" s="42"/>
      <c r="N167" s="42" t="s">
        <v>60</v>
      </c>
      <c r="O167" s="101" t="s">
        <v>446</v>
      </c>
      <c r="P167" s="45">
        <v>2</v>
      </c>
      <c r="Q167" s="100">
        <v>80</v>
      </c>
      <c r="R167" s="100"/>
      <c r="S167" s="42">
        <v>7550</v>
      </c>
      <c r="T167" s="12">
        <f t="shared" si="96"/>
        <v>604000</v>
      </c>
      <c r="U167" s="102" t="s">
        <v>86</v>
      </c>
      <c r="V167" s="12">
        <f>+T167*0.26</f>
        <v>157040</v>
      </c>
      <c r="W167" s="12">
        <f t="shared" si="97"/>
        <v>446960</v>
      </c>
      <c r="X167" s="116"/>
      <c r="Y167" s="117">
        <f t="shared" si="98"/>
        <v>662960</v>
      </c>
      <c r="Z167" s="12"/>
      <c r="AA167" s="12">
        <f t="shared" si="99"/>
        <v>662960</v>
      </c>
      <c r="AB167" s="12">
        <v>0.02</v>
      </c>
      <c r="AC167" s="12">
        <f t="shared" si="100"/>
        <v>132.592</v>
      </c>
      <c r="AD167" s="42"/>
      <c r="AE167" s="12"/>
    </row>
    <row r="168" spans="1:31" s="46" customFormat="1" ht="21">
      <c r="A168" s="42" t="s">
        <v>0</v>
      </c>
      <c r="B168" s="42" t="s">
        <v>1</v>
      </c>
      <c r="C168" s="45" t="s">
        <v>1353</v>
      </c>
      <c r="D168" s="45" t="s">
        <v>205</v>
      </c>
      <c r="E168" s="29" t="s">
        <v>907</v>
      </c>
      <c r="F168" s="47" t="s">
        <v>140</v>
      </c>
      <c r="G168" s="42"/>
      <c r="H168" s="42"/>
      <c r="I168" s="44">
        <v>98.8</v>
      </c>
      <c r="J168" s="44">
        <f t="shared" si="95"/>
        <v>98.8</v>
      </c>
      <c r="K168" s="42">
        <v>6000</v>
      </c>
      <c r="L168" s="42">
        <f t="shared" si="101"/>
        <v>592800</v>
      </c>
      <c r="M168" s="42"/>
      <c r="N168" s="42"/>
      <c r="O168" s="101"/>
      <c r="P168" s="45"/>
      <c r="Q168" s="42"/>
      <c r="R168" s="100"/>
      <c r="S168" s="42"/>
      <c r="T168" s="12">
        <f t="shared" si="96"/>
        <v>0</v>
      </c>
      <c r="U168" s="45"/>
      <c r="V168" s="12">
        <f>+T168*0</f>
        <v>0</v>
      </c>
      <c r="W168" s="12">
        <f t="shared" si="97"/>
        <v>0</v>
      </c>
      <c r="X168" s="116"/>
      <c r="Y168" s="117">
        <f t="shared" si="98"/>
        <v>592800</v>
      </c>
      <c r="Z168" s="12"/>
      <c r="AA168" s="12">
        <f t="shared" si="99"/>
        <v>592800</v>
      </c>
      <c r="AB168" s="12">
        <v>0.3</v>
      </c>
      <c r="AC168" s="12">
        <f t="shared" si="100"/>
        <v>1778.4</v>
      </c>
      <c r="AD168" s="42"/>
      <c r="AE168" s="12"/>
    </row>
    <row r="169" spans="1:31" s="46" customFormat="1" ht="21">
      <c r="A169" s="42" t="s">
        <v>0</v>
      </c>
      <c r="B169" s="42" t="s">
        <v>1</v>
      </c>
      <c r="C169" s="45" t="s">
        <v>1354</v>
      </c>
      <c r="D169" s="45" t="s">
        <v>206</v>
      </c>
      <c r="E169" s="29" t="s">
        <v>907</v>
      </c>
      <c r="F169" s="47" t="s">
        <v>137</v>
      </c>
      <c r="G169" s="42"/>
      <c r="H169" s="42">
        <v>1</v>
      </c>
      <c r="I169" s="44">
        <v>70.8</v>
      </c>
      <c r="J169" s="44">
        <f t="shared" si="95"/>
        <v>170.8</v>
      </c>
      <c r="K169" s="42">
        <v>15000</v>
      </c>
      <c r="L169" s="42">
        <f t="shared" si="101"/>
        <v>2562000</v>
      </c>
      <c r="M169" s="42"/>
      <c r="N169" s="42" t="s">
        <v>208</v>
      </c>
      <c r="O169" s="101" t="s">
        <v>446</v>
      </c>
      <c r="P169" s="45">
        <v>2</v>
      </c>
      <c r="Q169" s="100">
        <f>40*7</f>
        <v>280</v>
      </c>
      <c r="R169" s="100"/>
      <c r="S169" s="42">
        <v>6650</v>
      </c>
      <c r="T169" s="12">
        <f t="shared" si="96"/>
        <v>1862000</v>
      </c>
      <c r="U169" s="102" t="s">
        <v>101</v>
      </c>
      <c r="V169" s="12">
        <f>+T169*0.62</f>
        <v>1154440</v>
      </c>
      <c r="W169" s="12">
        <f t="shared" si="97"/>
        <v>707560</v>
      </c>
      <c r="X169" s="116"/>
      <c r="Y169" s="117">
        <f t="shared" si="98"/>
        <v>3269560</v>
      </c>
      <c r="Z169" s="12"/>
      <c r="AA169" s="12">
        <f t="shared" si="99"/>
        <v>3269560</v>
      </c>
      <c r="AB169" s="12">
        <v>0.02</v>
      </c>
      <c r="AC169" s="12">
        <f t="shared" si="100"/>
        <v>653.912</v>
      </c>
      <c r="AD169" s="42"/>
      <c r="AE169" s="12"/>
    </row>
    <row r="170" spans="1:31" s="46" customFormat="1" ht="21">
      <c r="A170" s="42" t="s">
        <v>0</v>
      </c>
      <c r="B170" s="42" t="s">
        <v>1</v>
      </c>
      <c r="C170" s="45" t="s">
        <v>1355</v>
      </c>
      <c r="D170" s="45" t="s">
        <v>207</v>
      </c>
      <c r="E170" s="30" t="s">
        <v>908</v>
      </c>
      <c r="F170" s="47" t="s">
        <v>137</v>
      </c>
      <c r="G170" s="42"/>
      <c r="H170" s="42">
        <v>3</v>
      </c>
      <c r="I170" s="44">
        <v>37.1</v>
      </c>
      <c r="J170" s="44">
        <f t="shared" si="95"/>
        <v>337.1</v>
      </c>
      <c r="K170" s="42">
        <v>20000</v>
      </c>
      <c r="L170" s="42">
        <f t="shared" si="101"/>
        <v>6742000</v>
      </c>
      <c r="M170" s="42"/>
      <c r="N170" s="42" t="s">
        <v>64</v>
      </c>
      <c r="O170" s="101" t="s">
        <v>447</v>
      </c>
      <c r="P170" s="45">
        <v>2</v>
      </c>
      <c r="Q170" s="100">
        <v>400</v>
      </c>
      <c r="R170" s="100"/>
      <c r="S170" s="42">
        <v>6550</v>
      </c>
      <c r="T170" s="12">
        <f t="shared" si="96"/>
        <v>2620000</v>
      </c>
      <c r="U170" s="102" t="s">
        <v>456</v>
      </c>
      <c r="V170" s="12">
        <f>+T170*0.85</f>
        <v>2227000</v>
      </c>
      <c r="W170" s="12">
        <f t="shared" si="97"/>
        <v>393000</v>
      </c>
      <c r="X170" s="116"/>
      <c r="Y170" s="117">
        <f t="shared" si="98"/>
        <v>7135000</v>
      </c>
      <c r="Z170" s="12">
        <f>+Y170</f>
        <v>7135000</v>
      </c>
      <c r="AA170" s="12">
        <f t="shared" si="99"/>
        <v>0</v>
      </c>
      <c r="AB170" s="12"/>
      <c r="AC170" s="12">
        <f t="shared" si="100"/>
        <v>0</v>
      </c>
      <c r="AD170" s="42" t="s">
        <v>906</v>
      </c>
      <c r="AE170" s="12"/>
    </row>
    <row r="171" spans="1:31" s="46" customFormat="1" ht="21">
      <c r="A171" s="42"/>
      <c r="B171" s="42"/>
      <c r="C171" s="45"/>
      <c r="D171" s="31"/>
      <c r="E171" s="31"/>
      <c r="F171" s="47"/>
      <c r="G171" s="42"/>
      <c r="H171" s="42"/>
      <c r="I171" s="44"/>
      <c r="J171" s="44">
        <f t="shared" si="95"/>
        <v>0</v>
      </c>
      <c r="K171" s="42"/>
      <c r="L171" s="42">
        <f t="shared" si="101"/>
        <v>0</v>
      </c>
      <c r="M171" s="42"/>
      <c r="N171" s="42"/>
      <c r="O171" s="101"/>
      <c r="P171" s="45"/>
      <c r="Q171" s="42"/>
      <c r="R171" s="42"/>
      <c r="S171" s="42"/>
      <c r="T171" s="12">
        <f t="shared" si="96"/>
        <v>0</v>
      </c>
      <c r="U171" s="45"/>
      <c r="V171" s="12">
        <f>+T171*0</f>
        <v>0</v>
      </c>
      <c r="W171" s="12">
        <f t="shared" si="97"/>
        <v>0</v>
      </c>
      <c r="X171" s="12"/>
      <c r="Y171" s="12">
        <f t="shared" si="98"/>
        <v>0</v>
      </c>
      <c r="Z171" s="12"/>
      <c r="AA171" s="12">
        <f t="shared" si="99"/>
        <v>0</v>
      </c>
      <c r="AB171" s="12"/>
      <c r="AC171" s="12">
        <f t="shared" si="100"/>
        <v>0</v>
      </c>
      <c r="AD171" s="42"/>
      <c r="AE171" s="12"/>
    </row>
    <row r="172" spans="1:31" s="46" customFormat="1" ht="21">
      <c r="A172" s="42"/>
      <c r="B172" s="42"/>
      <c r="C172" s="45"/>
      <c r="D172" s="31"/>
      <c r="E172" s="31"/>
      <c r="F172" s="47"/>
      <c r="G172" s="42"/>
      <c r="H172" s="42"/>
      <c r="I172" s="44"/>
      <c r="J172" s="44">
        <f t="shared" si="95"/>
        <v>0</v>
      </c>
      <c r="K172" s="42"/>
      <c r="L172" s="42">
        <f t="shared" si="101"/>
        <v>0</v>
      </c>
      <c r="M172" s="42"/>
      <c r="N172" s="42"/>
      <c r="O172" s="101"/>
      <c r="P172" s="45"/>
      <c r="Q172" s="42"/>
      <c r="R172" s="42"/>
      <c r="S172" s="42"/>
      <c r="T172" s="12">
        <f t="shared" si="96"/>
        <v>0</v>
      </c>
      <c r="U172" s="45"/>
      <c r="V172" s="12">
        <f>+T172*0</f>
        <v>0</v>
      </c>
      <c r="W172" s="12">
        <f t="shared" si="97"/>
        <v>0</v>
      </c>
      <c r="X172" s="12"/>
      <c r="Y172" s="12">
        <f t="shared" si="98"/>
        <v>0</v>
      </c>
      <c r="Z172" s="12"/>
      <c r="AA172" s="12">
        <f t="shared" si="99"/>
        <v>0</v>
      </c>
      <c r="AB172" s="12"/>
      <c r="AC172" s="12">
        <f t="shared" si="100"/>
        <v>0</v>
      </c>
      <c r="AD172" s="42"/>
      <c r="AE172" s="12"/>
    </row>
    <row r="173" spans="1:31" s="46" customFormat="1" ht="21">
      <c r="A173" s="42" t="s">
        <v>0</v>
      </c>
      <c r="B173" s="42" t="s">
        <v>1</v>
      </c>
      <c r="C173" s="45" t="s">
        <v>1347</v>
      </c>
      <c r="D173" s="45" t="s">
        <v>209</v>
      </c>
      <c r="E173" s="29" t="s">
        <v>907</v>
      </c>
      <c r="F173" s="47" t="s">
        <v>143</v>
      </c>
      <c r="G173" s="42">
        <v>1</v>
      </c>
      <c r="H173" s="42">
        <v>1</v>
      </c>
      <c r="I173" s="44">
        <v>11.4</v>
      </c>
      <c r="J173" s="44">
        <f aca="true" t="shared" si="102" ref="J173:J187">+I173+(H173*100)+(G173*400)</f>
        <v>511.4</v>
      </c>
      <c r="K173" s="42">
        <v>18500</v>
      </c>
      <c r="L173" s="42">
        <f t="shared" si="101"/>
        <v>9460900</v>
      </c>
      <c r="M173" s="42"/>
      <c r="N173" s="42" t="s">
        <v>112</v>
      </c>
      <c r="O173" s="104" t="s">
        <v>446</v>
      </c>
      <c r="P173" s="45">
        <v>3</v>
      </c>
      <c r="Q173" s="104">
        <f>350+490</f>
        <v>840</v>
      </c>
      <c r="R173" s="104"/>
      <c r="S173" s="42">
        <v>3500</v>
      </c>
      <c r="T173" s="12">
        <f aca="true" t="shared" si="103" ref="T173:T187">+Q173*S173</f>
        <v>2940000</v>
      </c>
      <c r="U173" s="102" t="s">
        <v>665</v>
      </c>
      <c r="V173" s="12">
        <f>+T173*0.11</f>
        <v>323400</v>
      </c>
      <c r="W173" s="12">
        <f aca="true" t="shared" si="104" ref="W173:W187">+T173-V173</f>
        <v>2616600</v>
      </c>
      <c r="X173" s="116"/>
      <c r="Y173" s="117">
        <f aca="true" t="shared" si="105" ref="Y173:Y187">+L173+W173</f>
        <v>12077500</v>
      </c>
      <c r="Z173" s="12"/>
      <c r="AA173" s="123">
        <f t="shared" si="99"/>
        <v>12077500</v>
      </c>
      <c r="AB173" s="12">
        <v>0.3</v>
      </c>
      <c r="AC173" s="12">
        <f aca="true" t="shared" si="106" ref="AC173:AC187">+AA173*AB173/100</f>
        <v>36232.5</v>
      </c>
      <c r="AD173" s="31" t="s">
        <v>1837</v>
      </c>
      <c r="AE173" s="12" t="e">
        <f>+AC173*#REF!/#REF!</f>
        <v>#REF!</v>
      </c>
    </row>
    <row r="174" spans="1:31" s="46" customFormat="1" ht="21">
      <c r="A174" s="42" t="s">
        <v>0</v>
      </c>
      <c r="B174" s="42" t="s">
        <v>1</v>
      </c>
      <c r="C174" s="45" t="s">
        <v>1356</v>
      </c>
      <c r="D174" s="45" t="s">
        <v>210</v>
      </c>
      <c r="E174" s="30" t="s">
        <v>908</v>
      </c>
      <c r="F174" s="47" t="s">
        <v>143</v>
      </c>
      <c r="G174" s="42"/>
      <c r="H174" s="42">
        <v>3</v>
      </c>
      <c r="I174" s="44">
        <v>39.1</v>
      </c>
      <c r="J174" s="44">
        <f t="shared" si="102"/>
        <v>339.1</v>
      </c>
      <c r="K174" s="42">
        <v>35000</v>
      </c>
      <c r="L174" s="42">
        <f t="shared" si="101"/>
        <v>11868500</v>
      </c>
      <c r="M174" s="42"/>
      <c r="N174" s="42" t="s">
        <v>60</v>
      </c>
      <c r="O174" s="101" t="s">
        <v>446</v>
      </c>
      <c r="P174" s="45">
        <v>3</v>
      </c>
      <c r="Q174" s="100">
        <v>7644</v>
      </c>
      <c r="R174" s="100"/>
      <c r="S174" s="42">
        <v>7550</v>
      </c>
      <c r="T174" s="12">
        <f t="shared" si="103"/>
        <v>57712200</v>
      </c>
      <c r="U174" s="102" t="s">
        <v>101</v>
      </c>
      <c r="V174" s="12">
        <f>+T174*0.62</f>
        <v>35781564</v>
      </c>
      <c r="W174" s="12">
        <f t="shared" si="104"/>
        <v>21930636</v>
      </c>
      <c r="X174" s="116"/>
      <c r="Y174" s="117">
        <f t="shared" si="105"/>
        <v>33799136</v>
      </c>
      <c r="Z174" s="12"/>
      <c r="AA174" s="123">
        <f aca="true" t="shared" si="107" ref="AA174:AA187">+Y174-Z174</f>
        <v>33799136</v>
      </c>
      <c r="AB174" s="12">
        <v>0.3</v>
      </c>
      <c r="AC174" s="12">
        <f t="shared" si="106"/>
        <v>101397.408</v>
      </c>
      <c r="AD174" s="31" t="s">
        <v>1836</v>
      </c>
      <c r="AE174" s="12" t="e">
        <f>+AC174*#REF!/#REF!</f>
        <v>#REF!</v>
      </c>
    </row>
    <row r="175" spans="1:31" s="46" customFormat="1" ht="21">
      <c r="A175" s="42" t="s">
        <v>0</v>
      </c>
      <c r="B175" s="42" t="s">
        <v>1</v>
      </c>
      <c r="C175" s="45" t="s">
        <v>1357</v>
      </c>
      <c r="D175" s="45" t="s">
        <v>211</v>
      </c>
      <c r="E175" s="29" t="s">
        <v>907</v>
      </c>
      <c r="F175" s="47" t="s">
        <v>140</v>
      </c>
      <c r="G175" s="42"/>
      <c r="H175" s="42"/>
      <c r="I175" s="44">
        <v>51.7</v>
      </c>
      <c r="J175" s="44">
        <f t="shared" si="102"/>
        <v>51.7</v>
      </c>
      <c r="K175" s="42">
        <v>26000</v>
      </c>
      <c r="L175" s="42">
        <f t="shared" si="101"/>
        <v>1344200</v>
      </c>
      <c r="M175" s="42"/>
      <c r="N175" s="42"/>
      <c r="O175" s="101"/>
      <c r="P175" s="45"/>
      <c r="Q175" s="42"/>
      <c r="R175" s="100"/>
      <c r="S175" s="42"/>
      <c r="T175" s="12">
        <f t="shared" si="103"/>
        <v>0</v>
      </c>
      <c r="U175" s="45"/>
      <c r="V175" s="12">
        <f aca="true" t="shared" si="108" ref="V175:V187">+T175*0</f>
        <v>0</v>
      </c>
      <c r="W175" s="12">
        <f t="shared" si="104"/>
        <v>0</v>
      </c>
      <c r="X175" s="116"/>
      <c r="Y175" s="117">
        <f t="shared" si="105"/>
        <v>1344200</v>
      </c>
      <c r="Z175" s="12"/>
      <c r="AA175" s="12">
        <f t="shared" si="107"/>
        <v>1344200</v>
      </c>
      <c r="AB175" s="12">
        <v>0.3</v>
      </c>
      <c r="AC175" s="12">
        <f t="shared" si="106"/>
        <v>4032.6</v>
      </c>
      <c r="AD175" s="31"/>
      <c r="AE175" s="12" t="e">
        <f>+AC175*#REF!/#REF!</f>
        <v>#REF!</v>
      </c>
    </row>
    <row r="176" spans="1:31" s="46" customFormat="1" ht="21">
      <c r="A176" s="42" t="s">
        <v>0</v>
      </c>
      <c r="B176" s="42" t="s">
        <v>1</v>
      </c>
      <c r="C176" s="45" t="s">
        <v>1358</v>
      </c>
      <c r="D176" s="45" t="s">
        <v>212</v>
      </c>
      <c r="E176" s="29" t="s">
        <v>907</v>
      </c>
      <c r="F176" s="47" t="s">
        <v>177</v>
      </c>
      <c r="G176" s="42"/>
      <c r="H176" s="42"/>
      <c r="I176" s="44">
        <v>73.9</v>
      </c>
      <c r="J176" s="44">
        <f t="shared" si="102"/>
        <v>73.9</v>
      </c>
      <c r="K176" s="42">
        <v>12000</v>
      </c>
      <c r="L176" s="42">
        <f t="shared" si="101"/>
        <v>886800.0000000001</v>
      </c>
      <c r="M176" s="42"/>
      <c r="N176" s="42"/>
      <c r="O176" s="101"/>
      <c r="P176" s="45"/>
      <c r="Q176" s="42"/>
      <c r="R176" s="100"/>
      <c r="S176" s="42"/>
      <c r="T176" s="12">
        <f t="shared" si="103"/>
        <v>0</v>
      </c>
      <c r="U176" s="45"/>
      <c r="V176" s="12">
        <f t="shared" si="108"/>
        <v>0</v>
      </c>
      <c r="W176" s="12">
        <f t="shared" si="104"/>
        <v>0</v>
      </c>
      <c r="X176" s="116"/>
      <c r="Y176" s="117">
        <f t="shared" si="105"/>
        <v>886800.0000000001</v>
      </c>
      <c r="Z176" s="12">
        <f>+Y176</f>
        <v>886800.0000000001</v>
      </c>
      <c r="AA176" s="12">
        <f t="shared" si="107"/>
        <v>0</v>
      </c>
      <c r="AB176" s="12"/>
      <c r="AC176" s="12">
        <f t="shared" si="106"/>
        <v>0</v>
      </c>
      <c r="AD176" s="31"/>
      <c r="AE176" s="12" t="e">
        <f>+AC176*#REF!/#REF!</f>
        <v>#REF!</v>
      </c>
    </row>
    <row r="177" spans="1:31" s="46" customFormat="1" ht="21">
      <c r="A177" s="42" t="s">
        <v>0</v>
      </c>
      <c r="B177" s="42" t="s">
        <v>1</v>
      </c>
      <c r="C177" s="45" t="s">
        <v>1359</v>
      </c>
      <c r="D177" s="45" t="s">
        <v>213</v>
      </c>
      <c r="E177" s="29" t="s">
        <v>907</v>
      </c>
      <c r="F177" s="47" t="s">
        <v>177</v>
      </c>
      <c r="G177" s="42"/>
      <c r="H177" s="42"/>
      <c r="I177" s="44">
        <v>80.1</v>
      </c>
      <c r="J177" s="44">
        <f t="shared" si="102"/>
        <v>80.1</v>
      </c>
      <c r="K177" s="42">
        <v>12000</v>
      </c>
      <c r="L177" s="42">
        <f aca="true" t="shared" si="109" ref="L177:L187">+K177*J177</f>
        <v>961199.9999999999</v>
      </c>
      <c r="M177" s="42"/>
      <c r="N177" s="42"/>
      <c r="O177" s="101"/>
      <c r="P177" s="45"/>
      <c r="Q177" s="42"/>
      <c r="R177" s="100"/>
      <c r="S177" s="42"/>
      <c r="T177" s="12">
        <f t="shared" si="103"/>
        <v>0</v>
      </c>
      <c r="U177" s="45"/>
      <c r="V177" s="12">
        <f t="shared" si="108"/>
        <v>0</v>
      </c>
      <c r="W177" s="12">
        <f t="shared" si="104"/>
        <v>0</v>
      </c>
      <c r="X177" s="116"/>
      <c r="Y177" s="117">
        <f t="shared" si="105"/>
        <v>961199.9999999999</v>
      </c>
      <c r="Z177" s="12">
        <f>+Y177</f>
        <v>961199.9999999999</v>
      </c>
      <c r="AA177" s="12">
        <f t="shared" si="107"/>
        <v>0</v>
      </c>
      <c r="AB177" s="12"/>
      <c r="AC177" s="12">
        <f t="shared" si="106"/>
        <v>0</v>
      </c>
      <c r="AD177" s="31"/>
      <c r="AE177" s="12" t="e">
        <f>+AC177*#REF!/#REF!</f>
        <v>#REF!</v>
      </c>
    </row>
    <row r="178" spans="1:31" s="46" customFormat="1" ht="21">
      <c r="A178" s="42" t="s">
        <v>0</v>
      </c>
      <c r="B178" s="42" t="s">
        <v>1</v>
      </c>
      <c r="C178" s="45" t="s">
        <v>1360</v>
      </c>
      <c r="D178" s="45" t="s">
        <v>214</v>
      </c>
      <c r="E178" s="29" t="s">
        <v>907</v>
      </c>
      <c r="F178" s="47" t="s">
        <v>140</v>
      </c>
      <c r="G178" s="42">
        <v>4</v>
      </c>
      <c r="H178" s="42">
        <v>2</v>
      </c>
      <c r="I178" s="44">
        <v>22.4</v>
      </c>
      <c r="J178" s="44">
        <f t="shared" si="102"/>
        <v>1822.4</v>
      </c>
      <c r="K178" s="42">
        <v>8750</v>
      </c>
      <c r="L178" s="42">
        <f t="shared" si="109"/>
        <v>15946000</v>
      </c>
      <c r="M178" s="42"/>
      <c r="N178" s="42"/>
      <c r="O178" s="101"/>
      <c r="P178" s="45"/>
      <c r="Q178" s="42"/>
      <c r="R178" s="100"/>
      <c r="S178" s="42"/>
      <c r="T178" s="12">
        <f t="shared" si="103"/>
        <v>0</v>
      </c>
      <c r="U178" s="45"/>
      <c r="V178" s="12">
        <f t="shared" si="108"/>
        <v>0</v>
      </c>
      <c r="W178" s="12">
        <f t="shared" si="104"/>
        <v>0</v>
      </c>
      <c r="X178" s="116"/>
      <c r="Y178" s="117">
        <f t="shared" si="105"/>
        <v>15946000</v>
      </c>
      <c r="Z178" s="12"/>
      <c r="AA178" s="12">
        <f t="shared" si="107"/>
        <v>15946000</v>
      </c>
      <c r="AB178" s="12">
        <v>0.3</v>
      </c>
      <c r="AC178" s="12">
        <f t="shared" si="106"/>
        <v>47838</v>
      </c>
      <c r="AD178" s="31"/>
      <c r="AE178" s="12" t="e">
        <f>+AC178*#REF!/#REF!</f>
        <v>#REF!</v>
      </c>
    </row>
    <row r="179" spans="1:31" s="46" customFormat="1" ht="21">
      <c r="A179" s="42" t="s">
        <v>0</v>
      </c>
      <c r="B179" s="42" t="s">
        <v>1</v>
      </c>
      <c r="C179" s="45" t="s">
        <v>1361</v>
      </c>
      <c r="D179" s="45" t="s">
        <v>215</v>
      </c>
      <c r="E179" s="29" t="s">
        <v>907</v>
      </c>
      <c r="F179" s="47" t="s">
        <v>177</v>
      </c>
      <c r="G179" s="42"/>
      <c r="H179" s="42"/>
      <c r="I179" s="44">
        <v>50.2</v>
      </c>
      <c r="J179" s="44">
        <f t="shared" si="102"/>
        <v>50.2</v>
      </c>
      <c r="K179" s="42">
        <v>15000</v>
      </c>
      <c r="L179" s="42">
        <f t="shared" si="109"/>
        <v>753000</v>
      </c>
      <c r="M179" s="42"/>
      <c r="N179" s="42"/>
      <c r="O179" s="101"/>
      <c r="P179" s="45"/>
      <c r="Q179" s="42"/>
      <c r="R179" s="100"/>
      <c r="S179" s="42"/>
      <c r="T179" s="12">
        <f t="shared" si="103"/>
        <v>0</v>
      </c>
      <c r="U179" s="45"/>
      <c r="V179" s="12">
        <f t="shared" si="108"/>
        <v>0</v>
      </c>
      <c r="W179" s="12">
        <f t="shared" si="104"/>
        <v>0</v>
      </c>
      <c r="X179" s="116"/>
      <c r="Y179" s="117">
        <f t="shared" si="105"/>
        <v>753000</v>
      </c>
      <c r="Z179" s="12">
        <f>+Y179</f>
        <v>753000</v>
      </c>
      <c r="AA179" s="12">
        <f t="shared" si="107"/>
        <v>0</v>
      </c>
      <c r="AB179" s="12"/>
      <c r="AC179" s="12">
        <f t="shared" si="106"/>
        <v>0</v>
      </c>
      <c r="AD179" s="31"/>
      <c r="AE179" s="12" t="e">
        <f>+AC179*#REF!/#REF!</f>
        <v>#REF!</v>
      </c>
    </row>
    <row r="180" spans="1:31" s="46" customFormat="1" ht="21">
      <c r="A180" s="42" t="s">
        <v>0</v>
      </c>
      <c r="B180" s="42" t="s">
        <v>1</v>
      </c>
      <c r="C180" s="45" t="s">
        <v>1362</v>
      </c>
      <c r="D180" s="45" t="s">
        <v>216</v>
      </c>
      <c r="E180" s="10" t="s">
        <v>909</v>
      </c>
      <c r="F180" s="47" t="s">
        <v>143</v>
      </c>
      <c r="G180" s="42"/>
      <c r="H180" s="42">
        <v>2</v>
      </c>
      <c r="I180" s="44">
        <v>92.7</v>
      </c>
      <c r="J180" s="44">
        <f>+I180+(H180*100)+(G180*400)</f>
        <v>292.7</v>
      </c>
      <c r="K180" s="42">
        <v>4000</v>
      </c>
      <c r="L180" s="42">
        <f>+K180*J180</f>
        <v>1170800</v>
      </c>
      <c r="M180" s="42"/>
      <c r="N180" s="42" t="s">
        <v>1750</v>
      </c>
      <c r="O180" s="101"/>
      <c r="P180" s="45"/>
      <c r="Q180" s="42"/>
      <c r="R180" s="100"/>
      <c r="S180" s="42"/>
      <c r="T180" s="12">
        <f>+Q180*S180</f>
        <v>0</v>
      </c>
      <c r="U180" s="45"/>
      <c r="V180" s="12">
        <f>+T180*0</f>
        <v>0</v>
      </c>
      <c r="W180" s="12">
        <f>+T180-V180</f>
        <v>0</v>
      </c>
      <c r="X180" s="116"/>
      <c r="Y180" s="117">
        <f>+L180+W180</f>
        <v>1170800</v>
      </c>
      <c r="Z180" s="12"/>
      <c r="AA180" s="12">
        <f>+Y180-Z180</f>
        <v>1170800</v>
      </c>
      <c r="AB180" s="12">
        <v>0.4</v>
      </c>
      <c r="AC180" s="12">
        <f>+AA180*AB180/100</f>
        <v>4683.2</v>
      </c>
      <c r="AD180" s="31"/>
      <c r="AE180" s="12" t="e">
        <f>+AC180*#REF!/#REF!</f>
        <v>#REF!</v>
      </c>
    </row>
    <row r="181" spans="1:31" s="46" customFormat="1" ht="21">
      <c r="A181" s="42" t="s">
        <v>0</v>
      </c>
      <c r="B181" s="42" t="s">
        <v>1</v>
      </c>
      <c r="C181" s="45" t="s">
        <v>1363</v>
      </c>
      <c r="D181" s="45" t="s">
        <v>218</v>
      </c>
      <c r="E181" s="29" t="s">
        <v>907</v>
      </c>
      <c r="F181" s="47" t="s">
        <v>177</v>
      </c>
      <c r="G181" s="42"/>
      <c r="H181" s="42">
        <v>1</v>
      </c>
      <c r="I181" s="44">
        <v>0.6</v>
      </c>
      <c r="J181" s="44">
        <f t="shared" si="102"/>
        <v>100.6</v>
      </c>
      <c r="K181" s="42">
        <v>4000</v>
      </c>
      <c r="L181" s="42">
        <f t="shared" si="109"/>
        <v>402400</v>
      </c>
      <c r="M181" s="42"/>
      <c r="N181" s="42"/>
      <c r="O181" s="101"/>
      <c r="P181" s="45"/>
      <c r="Q181" s="42"/>
      <c r="R181" s="100"/>
      <c r="S181" s="42"/>
      <c r="T181" s="12">
        <f t="shared" si="103"/>
        <v>0</v>
      </c>
      <c r="U181" s="45"/>
      <c r="V181" s="12">
        <f t="shared" si="108"/>
        <v>0</v>
      </c>
      <c r="W181" s="12">
        <f t="shared" si="104"/>
        <v>0</v>
      </c>
      <c r="X181" s="116"/>
      <c r="Y181" s="117">
        <f t="shared" si="105"/>
        <v>402400</v>
      </c>
      <c r="Z181" s="12">
        <f>+Y181</f>
        <v>402400</v>
      </c>
      <c r="AA181" s="12">
        <f t="shared" si="107"/>
        <v>0</v>
      </c>
      <c r="AB181" s="12"/>
      <c r="AC181" s="12">
        <f t="shared" si="106"/>
        <v>0</v>
      </c>
      <c r="AD181" s="31"/>
      <c r="AE181" s="12" t="e">
        <f>+AC181*#REF!/#REF!</f>
        <v>#REF!</v>
      </c>
    </row>
    <row r="182" spans="1:31" s="46" customFormat="1" ht="21">
      <c r="A182" s="42" t="s">
        <v>0</v>
      </c>
      <c r="B182" s="42" t="s">
        <v>1</v>
      </c>
      <c r="C182" s="45" t="s">
        <v>1364</v>
      </c>
      <c r="D182" s="45" t="s">
        <v>217</v>
      </c>
      <c r="E182" s="29" t="s">
        <v>907</v>
      </c>
      <c r="F182" s="47" t="s">
        <v>177</v>
      </c>
      <c r="G182" s="42"/>
      <c r="H182" s="42"/>
      <c r="I182" s="44">
        <v>76.5</v>
      </c>
      <c r="J182" s="44">
        <f t="shared" si="102"/>
        <v>76.5</v>
      </c>
      <c r="K182" s="42">
        <v>15000</v>
      </c>
      <c r="L182" s="42">
        <f t="shared" si="109"/>
        <v>1147500</v>
      </c>
      <c r="M182" s="42"/>
      <c r="N182" s="42"/>
      <c r="O182" s="101"/>
      <c r="P182" s="45"/>
      <c r="Q182" s="42"/>
      <c r="R182" s="100"/>
      <c r="S182" s="42"/>
      <c r="T182" s="12">
        <f t="shared" si="103"/>
        <v>0</v>
      </c>
      <c r="U182" s="45"/>
      <c r="V182" s="12">
        <f t="shared" si="108"/>
        <v>0</v>
      </c>
      <c r="W182" s="12">
        <f t="shared" si="104"/>
        <v>0</v>
      </c>
      <c r="X182" s="116"/>
      <c r="Y182" s="117">
        <f t="shared" si="105"/>
        <v>1147500</v>
      </c>
      <c r="Z182" s="12">
        <f>+Y182</f>
        <v>1147500</v>
      </c>
      <c r="AA182" s="12">
        <f t="shared" si="107"/>
        <v>0</v>
      </c>
      <c r="AB182" s="12"/>
      <c r="AC182" s="12">
        <f t="shared" si="106"/>
        <v>0</v>
      </c>
      <c r="AD182" s="31"/>
      <c r="AE182" s="12" t="e">
        <f>+AC182*#REF!/#REF!</f>
        <v>#REF!</v>
      </c>
    </row>
    <row r="183" spans="1:31" s="46" customFormat="1" ht="21">
      <c r="A183" s="42" t="s">
        <v>0</v>
      </c>
      <c r="B183" s="42" t="s">
        <v>1</v>
      </c>
      <c r="C183" s="45" t="s">
        <v>1365</v>
      </c>
      <c r="D183" s="45" t="s">
        <v>219</v>
      </c>
      <c r="E183" s="29" t="s">
        <v>907</v>
      </c>
      <c r="F183" s="47" t="s">
        <v>140</v>
      </c>
      <c r="G183" s="42">
        <v>2</v>
      </c>
      <c r="H183" s="42">
        <v>2</v>
      </c>
      <c r="I183" s="44">
        <v>3.6</v>
      </c>
      <c r="J183" s="44">
        <f t="shared" si="102"/>
        <v>1003.6</v>
      </c>
      <c r="K183" s="42">
        <v>30000</v>
      </c>
      <c r="L183" s="42">
        <f t="shared" si="109"/>
        <v>30108000</v>
      </c>
      <c r="M183" s="42"/>
      <c r="N183" s="42"/>
      <c r="O183" s="101"/>
      <c r="P183" s="45"/>
      <c r="Q183" s="42"/>
      <c r="R183" s="100"/>
      <c r="S183" s="42"/>
      <c r="T183" s="12">
        <f t="shared" si="103"/>
        <v>0</v>
      </c>
      <c r="U183" s="45"/>
      <c r="V183" s="12">
        <f t="shared" si="108"/>
        <v>0</v>
      </c>
      <c r="W183" s="12">
        <f t="shared" si="104"/>
        <v>0</v>
      </c>
      <c r="X183" s="116"/>
      <c r="Y183" s="117">
        <f t="shared" si="105"/>
        <v>30108000</v>
      </c>
      <c r="Z183" s="12"/>
      <c r="AA183" s="12">
        <f t="shared" si="107"/>
        <v>30108000</v>
      </c>
      <c r="AB183" s="12">
        <v>0.3</v>
      </c>
      <c r="AC183" s="12">
        <f t="shared" si="106"/>
        <v>90324</v>
      </c>
      <c r="AD183" s="31"/>
      <c r="AE183" s="12" t="e">
        <f>+AC183*#REF!/#REF!</f>
        <v>#REF!</v>
      </c>
    </row>
    <row r="184" spans="1:31" s="46" customFormat="1" ht="21">
      <c r="A184" s="42" t="s">
        <v>0</v>
      </c>
      <c r="B184" s="42" t="s">
        <v>1</v>
      </c>
      <c r="C184" s="45" t="s">
        <v>1366</v>
      </c>
      <c r="D184" s="45" t="s">
        <v>220</v>
      </c>
      <c r="E184" s="10" t="s">
        <v>909</v>
      </c>
      <c r="F184" s="47" t="s">
        <v>177</v>
      </c>
      <c r="G184" s="42">
        <v>2</v>
      </c>
      <c r="H184" s="42">
        <v>2</v>
      </c>
      <c r="I184" s="44">
        <v>50.9</v>
      </c>
      <c r="J184" s="44">
        <f t="shared" si="102"/>
        <v>1050.9</v>
      </c>
      <c r="K184" s="42">
        <v>4000</v>
      </c>
      <c r="L184" s="42">
        <f t="shared" si="109"/>
        <v>4203600</v>
      </c>
      <c r="M184" s="42"/>
      <c r="N184" s="42"/>
      <c r="O184" s="101"/>
      <c r="P184" s="45"/>
      <c r="Q184" s="42"/>
      <c r="R184" s="100"/>
      <c r="S184" s="42"/>
      <c r="T184" s="12">
        <f t="shared" si="103"/>
        <v>0</v>
      </c>
      <c r="U184" s="45"/>
      <c r="V184" s="12">
        <f t="shared" si="108"/>
        <v>0</v>
      </c>
      <c r="W184" s="12">
        <f t="shared" si="104"/>
        <v>0</v>
      </c>
      <c r="X184" s="116"/>
      <c r="Y184" s="117">
        <f t="shared" si="105"/>
        <v>4203600</v>
      </c>
      <c r="Z184" s="12">
        <f>+Y184</f>
        <v>4203600</v>
      </c>
      <c r="AA184" s="12">
        <f t="shared" si="107"/>
        <v>0</v>
      </c>
      <c r="AB184" s="12"/>
      <c r="AC184" s="12">
        <f t="shared" si="106"/>
        <v>0</v>
      </c>
      <c r="AD184" s="31"/>
      <c r="AE184" s="12" t="e">
        <f>+AC184*#REF!/#REF!</f>
        <v>#REF!</v>
      </c>
    </row>
    <row r="185" spans="1:31" s="46" customFormat="1" ht="21">
      <c r="A185" s="42" t="s">
        <v>0</v>
      </c>
      <c r="B185" s="42" t="s">
        <v>1</v>
      </c>
      <c r="C185" s="45" t="s">
        <v>1367</v>
      </c>
      <c r="D185" s="45" t="s">
        <v>221</v>
      </c>
      <c r="E185" s="10" t="s">
        <v>909</v>
      </c>
      <c r="F185" s="47" t="s">
        <v>143</v>
      </c>
      <c r="G185" s="42"/>
      <c r="H185" s="42">
        <v>2</v>
      </c>
      <c r="I185" s="44">
        <v>80.4</v>
      </c>
      <c r="J185" s="44">
        <f t="shared" si="102"/>
        <v>280.4</v>
      </c>
      <c r="K185" s="42">
        <v>26000</v>
      </c>
      <c r="L185" s="42">
        <f t="shared" si="109"/>
        <v>7290399.999999999</v>
      </c>
      <c r="M185" s="42"/>
      <c r="N185" s="42" t="s">
        <v>1750</v>
      </c>
      <c r="O185" s="101"/>
      <c r="P185" s="45"/>
      <c r="Q185" s="42"/>
      <c r="R185" s="100"/>
      <c r="S185" s="42"/>
      <c r="T185" s="12">
        <f t="shared" si="103"/>
        <v>0</v>
      </c>
      <c r="U185" s="45"/>
      <c r="V185" s="12">
        <f t="shared" si="108"/>
        <v>0</v>
      </c>
      <c r="W185" s="12">
        <f t="shared" si="104"/>
        <v>0</v>
      </c>
      <c r="X185" s="116"/>
      <c r="Y185" s="117">
        <f t="shared" si="105"/>
        <v>7290399.999999999</v>
      </c>
      <c r="Z185" s="12"/>
      <c r="AA185" s="12">
        <f>+Y185-Z185-AA186</f>
        <v>3167035.999999999</v>
      </c>
      <c r="AB185" s="12">
        <v>0.4</v>
      </c>
      <c r="AC185" s="12">
        <f t="shared" si="106"/>
        <v>12668.143999999997</v>
      </c>
      <c r="AD185" s="31"/>
      <c r="AE185" s="12" t="e">
        <f>+AC185*#REF!/#REF!</f>
        <v>#REF!</v>
      </c>
    </row>
    <row r="186" spans="1:31" s="46" customFormat="1" ht="21">
      <c r="A186" s="42" t="s">
        <v>0</v>
      </c>
      <c r="B186" s="42"/>
      <c r="C186" s="45"/>
      <c r="D186" s="45"/>
      <c r="E186" s="31"/>
      <c r="F186" s="47"/>
      <c r="G186" s="42"/>
      <c r="H186" s="42"/>
      <c r="I186" s="44"/>
      <c r="J186" s="44">
        <f>+I186+(H186*100)+(G186*400)</f>
        <v>0</v>
      </c>
      <c r="K186" s="42"/>
      <c r="L186" s="42">
        <f t="shared" si="109"/>
        <v>0</v>
      </c>
      <c r="M186" s="42"/>
      <c r="N186" s="42"/>
      <c r="O186" s="101"/>
      <c r="P186" s="45"/>
      <c r="Q186" s="42"/>
      <c r="R186" s="100"/>
      <c r="S186" s="42"/>
      <c r="T186" s="12">
        <f>+Q186*S186</f>
        <v>0</v>
      </c>
      <c r="U186" s="45"/>
      <c r="V186" s="12">
        <f>+T186*0</f>
        <v>0</v>
      </c>
      <c r="W186" s="12">
        <f>+T186-V186</f>
        <v>0</v>
      </c>
      <c r="X186" s="116"/>
      <c r="Y186" s="117">
        <f>+L186+W186</f>
        <v>0</v>
      </c>
      <c r="Z186" s="12"/>
      <c r="AA186" s="124">
        <f>50000000-AA174-AA173</f>
        <v>4123364</v>
      </c>
      <c r="AB186" s="12">
        <v>0.3</v>
      </c>
      <c r="AC186" s="12">
        <f>+AA186*AB186/100</f>
        <v>12370.091999999999</v>
      </c>
      <c r="AD186" s="31" t="s">
        <v>379</v>
      </c>
      <c r="AE186" s="12" t="e">
        <f>+AC186*#REF!/#REF!</f>
        <v>#REF!</v>
      </c>
    </row>
    <row r="187" spans="1:31" s="46" customFormat="1" ht="21">
      <c r="A187" s="42" t="s">
        <v>0</v>
      </c>
      <c r="B187" s="42" t="s">
        <v>1</v>
      </c>
      <c r="C187" s="45" t="s">
        <v>1368</v>
      </c>
      <c r="D187" s="45" t="s">
        <v>222</v>
      </c>
      <c r="E187" s="10" t="s">
        <v>909</v>
      </c>
      <c r="F187" s="47" t="s">
        <v>143</v>
      </c>
      <c r="G187" s="42"/>
      <c r="H187" s="42">
        <v>2</v>
      </c>
      <c r="I187" s="44">
        <v>88.1</v>
      </c>
      <c r="J187" s="44">
        <f t="shared" si="102"/>
        <v>288.1</v>
      </c>
      <c r="K187" s="42">
        <v>4000</v>
      </c>
      <c r="L187" s="42">
        <f t="shared" si="109"/>
        <v>1152400</v>
      </c>
      <c r="M187" s="42"/>
      <c r="N187" s="42" t="s">
        <v>1750</v>
      </c>
      <c r="O187" s="101"/>
      <c r="P187" s="45"/>
      <c r="Q187" s="42"/>
      <c r="R187" s="100"/>
      <c r="S187" s="42"/>
      <c r="T187" s="12">
        <f t="shared" si="103"/>
        <v>0</v>
      </c>
      <c r="U187" s="45"/>
      <c r="V187" s="12">
        <f t="shared" si="108"/>
        <v>0</v>
      </c>
      <c r="W187" s="12">
        <f t="shared" si="104"/>
        <v>0</v>
      </c>
      <c r="X187" s="116"/>
      <c r="Y187" s="117">
        <f t="shared" si="105"/>
        <v>1152400</v>
      </c>
      <c r="Z187" s="12"/>
      <c r="AA187" s="12">
        <f t="shared" si="107"/>
        <v>1152400</v>
      </c>
      <c r="AB187" s="12">
        <v>0.4</v>
      </c>
      <c r="AC187" s="12">
        <f t="shared" si="106"/>
        <v>4609.6</v>
      </c>
      <c r="AD187" s="31"/>
      <c r="AE187" s="12" t="e">
        <f>+AC187*#REF!/#REF!</f>
        <v>#REF!</v>
      </c>
    </row>
    <row r="188" spans="1:31" s="46" customFormat="1" ht="21">
      <c r="A188" s="42" t="s">
        <v>0</v>
      </c>
      <c r="B188" s="42" t="s">
        <v>1</v>
      </c>
      <c r="C188" s="45" t="s">
        <v>1369</v>
      </c>
      <c r="D188" s="45" t="s">
        <v>223</v>
      </c>
      <c r="E188" s="29" t="s">
        <v>907</v>
      </c>
      <c r="F188" s="47" t="s">
        <v>137</v>
      </c>
      <c r="G188" s="42"/>
      <c r="H188" s="42">
        <v>1</v>
      </c>
      <c r="I188" s="44">
        <v>63.4</v>
      </c>
      <c r="J188" s="44">
        <f aca="true" t="shared" si="110" ref="J188:J197">+I188+(H188*100)+(G188*400)</f>
        <v>163.4</v>
      </c>
      <c r="K188" s="42">
        <v>12000</v>
      </c>
      <c r="L188" s="42">
        <f t="shared" si="101"/>
        <v>1960800</v>
      </c>
      <c r="M188" s="42"/>
      <c r="N188" s="42" t="s">
        <v>717</v>
      </c>
      <c r="O188" s="101" t="s">
        <v>446</v>
      </c>
      <c r="P188" s="45">
        <v>2</v>
      </c>
      <c r="Q188" s="100">
        <f>37.6*9</f>
        <v>338.40000000000003</v>
      </c>
      <c r="R188" s="100"/>
      <c r="S188" s="42">
        <v>7550</v>
      </c>
      <c r="T188" s="12">
        <f aca="true" t="shared" si="111" ref="T188:T197">+Q188*S188</f>
        <v>2554920.0000000005</v>
      </c>
      <c r="U188" s="102" t="s">
        <v>76</v>
      </c>
      <c r="V188" s="12">
        <f>+T188*0.14</f>
        <v>357688.8000000001</v>
      </c>
      <c r="W188" s="12">
        <f aca="true" t="shared" si="112" ref="W188:W197">+T188-V188</f>
        <v>2197231.2</v>
      </c>
      <c r="X188" s="116"/>
      <c r="Y188" s="117">
        <f aca="true" t="shared" si="113" ref="Y188:Y197">+L188+W188</f>
        <v>4158031.2</v>
      </c>
      <c r="Z188" s="12"/>
      <c r="AA188" s="12">
        <f aca="true" t="shared" si="114" ref="AA188:AA197">+Y188-Z188</f>
        <v>4158031.2</v>
      </c>
      <c r="AB188" s="12">
        <v>0.02</v>
      </c>
      <c r="AC188" s="12">
        <f aca="true" t="shared" si="115" ref="AC188:AC197">+AA188*AB188/100</f>
        <v>831.6062400000001</v>
      </c>
      <c r="AD188" s="42"/>
      <c r="AE188" s="12"/>
    </row>
    <row r="189" spans="1:31" s="46" customFormat="1" ht="21">
      <c r="A189" s="42"/>
      <c r="B189" s="42"/>
      <c r="C189" s="45"/>
      <c r="D189" s="31"/>
      <c r="E189" s="31"/>
      <c r="F189" s="47"/>
      <c r="G189" s="42"/>
      <c r="H189" s="42"/>
      <c r="I189" s="44"/>
      <c r="J189" s="44">
        <f t="shared" si="110"/>
        <v>0</v>
      </c>
      <c r="K189" s="42"/>
      <c r="L189" s="42">
        <f t="shared" si="101"/>
        <v>0</v>
      </c>
      <c r="M189" s="42"/>
      <c r="N189" s="42"/>
      <c r="O189" s="101"/>
      <c r="P189" s="45"/>
      <c r="Q189" s="42"/>
      <c r="R189" s="42"/>
      <c r="S189" s="42"/>
      <c r="T189" s="12">
        <f t="shared" si="111"/>
        <v>0</v>
      </c>
      <c r="U189" s="45"/>
      <c r="V189" s="12">
        <f aca="true" t="shared" si="116" ref="V189:V197">+T189*0</f>
        <v>0</v>
      </c>
      <c r="W189" s="12">
        <f t="shared" si="112"/>
        <v>0</v>
      </c>
      <c r="X189" s="12"/>
      <c r="Y189" s="12">
        <f t="shared" si="113"/>
        <v>0</v>
      </c>
      <c r="Z189" s="12"/>
      <c r="AA189" s="12">
        <f t="shared" si="114"/>
        <v>0</v>
      </c>
      <c r="AB189" s="12"/>
      <c r="AC189" s="12">
        <f t="shared" si="115"/>
        <v>0</v>
      </c>
      <c r="AD189" s="42"/>
      <c r="AE189" s="12"/>
    </row>
    <row r="190" spans="1:31" s="46" customFormat="1" ht="21">
      <c r="A190" s="42"/>
      <c r="B190" s="42"/>
      <c r="C190" s="45"/>
      <c r="D190" s="31"/>
      <c r="E190" s="31"/>
      <c r="F190" s="47"/>
      <c r="G190" s="42"/>
      <c r="H190" s="42"/>
      <c r="I190" s="44"/>
      <c r="J190" s="44">
        <f t="shared" si="110"/>
        <v>0</v>
      </c>
      <c r="K190" s="42"/>
      <c r="L190" s="42">
        <f t="shared" si="101"/>
        <v>0</v>
      </c>
      <c r="M190" s="42"/>
      <c r="N190" s="42"/>
      <c r="O190" s="101"/>
      <c r="P190" s="45"/>
      <c r="Q190" s="42"/>
      <c r="R190" s="42"/>
      <c r="S190" s="42"/>
      <c r="T190" s="12">
        <f t="shared" si="111"/>
        <v>0</v>
      </c>
      <c r="U190" s="45"/>
      <c r="V190" s="12">
        <f t="shared" si="116"/>
        <v>0</v>
      </c>
      <c r="W190" s="12">
        <f t="shared" si="112"/>
        <v>0</v>
      </c>
      <c r="X190" s="12"/>
      <c r="Y190" s="12">
        <f t="shared" si="113"/>
        <v>0</v>
      </c>
      <c r="Z190" s="12"/>
      <c r="AA190" s="12">
        <f t="shared" si="114"/>
        <v>0</v>
      </c>
      <c r="AB190" s="12"/>
      <c r="AC190" s="12">
        <f t="shared" si="115"/>
        <v>0</v>
      </c>
      <c r="AD190" s="42"/>
      <c r="AE190" s="12"/>
    </row>
    <row r="191" spans="1:31" s="46" customFormat="1" ht="21">
      <c r="A191" s="42" t="s">
        <v>0</v>
      </c>
      <c r="B191" s="42" t="s">
        <v>1</v>
      </c>
      <c r="C191" s="45" t="s">
        <v>1370</v>
      </c>
      <c r="D191" s="45" t="s">
        <v>224</v>
      </c>
      <c r="E191" s="29" t="s">
        <v>907</v>
      </c>
      <c r="F191" s="47" t="s">
        <v>140</v>
      </c>
      <c r="G191" s="42"/>
      <c r="H191" s="42"/>
      <c r="I191" s="44">
        <v>50</v>
      </c>
      <c r="J191" s="44">
        <f t="shared" si="110"/>
        <v>50</v>
      </c>
      <c r="K191" s="42">
        <v>10000</v>
      </c>
      <c r="L191" s="42">
        <f t="shared" si="101"/>
        <v>500000</v>
      </c>
      <c r="M191" s="42"/>
      <c r="N191" s="42"/>
      <c r="O191" s="101"/>
      <c r="P191" s="45"/>
      <c r="Q191" s="42"/>
      <c r="R191" s="100"/>
      <c r="S191" s="42"/>
      <c r="T191" s="12">
        <f t="shared" si="111"/>
        <v>0</v>
      </c>
      <c r="U191" s="45"/>
      <c r="V191" s="12">
        <f t="shared" si="116"/>
        <v>0</v>
      </c>
      <c r="W191" s="12">
        <f t="shared" si="112"/>
        <v>0</v>
      </c>
      <c r="X191" s="116"/>
      <c r="Y191" s="117">
        <f t="shared" si="113"/>
        <v>500000</v>
      </c>
      <c r="Z191" s="12"/>
      <c r="AA191" s="12">
        <f t="shared" si="114"/>
        <v>500000</v>
      </c>
      <c r="AB191" s="12">
        <v>0.3</v>
      </c>
      <c r="AC191" s="12">
        <f t="shared" si="115"/>
        <v>1500</v>
      </c>
      <c r="AD191" s="42"/>
      <c r="AE191" s="12"/>
    </row>
    <row r="192" spans="1:31" s="46" customFormat="1" ht="21">
      <c r="A192" s="42"/>
      <c r="B192" s="42"/>
      <c r="C192" s="45"/>
      <c r="D192" s="31"/>
      <c r="E192" s="31"/>
      <c r="F192" s="47"/>
      <c r="G192" s="42"/>
      <c r="H192" s="42"/>
      <c r="I192" s="44"/>
      <c r="J192" s="44">
        <f t="shared" si="110"/>
        <v>0</v>
      </c>
      <c r="K192" s="42"/>
      <c r="L192" s="42">
        <f t="shared" si="101"/>
        <v>0</v>
      </c>
      <c r="M192" s="42"/>
      <c r="N192" s="42"/>
      <c r="O192" s="101"/>
      <c r="P192" s="45"/>
      <c r="Q192" s="42"/>
      <c r="R192" s="42"/>
      <c r="S192" s="42"/>
      <c r="T192" s="12">
        <f t="shared" si="111"/>
        <v>0</v>
      </c>
      <c r="U192" s="45"/>
      <c r="V192" s="12">
        <f t="shared" si="116"/>
        <v>0</v>
      </c>
      <c r="W192" s="12">
        <f t="shared" si="112"/>
        <v>0</v>
      </c>
      <c r="X192" s="12"/>
      <c r="Y192" s="12">
        <f t="shared" si="113"/>
        <v>0</v>
      </c>
      <c r="Z192" s="12"/>
      <c r="AA192" s="12">
        <f t="shared" si="114"/>
        <v>0</v>
      </c>
      <c r="AB192" s="12"/>
      <c r="AC192" s="12">
        <f t="shared" si="115"/>
        <v>0</v>
      </c>
      <c r="AD192" s="42"/>
      <c r="AE192" s="12"/>
    </row>
    <row r="193" spans="1:31" s="46" customFormat="1" ht="21">
      <c r="A193" s="42"/>
      <c r="B193" s="42"/>
      <c r="C193" s="45"/>
      <c r="D193" s="31"/>
      <c r="E193" s="31"/>
      <c r="F193" s="47"/>
      <c r="G193" s="42"/>
      <c r="H193" s="42"/>
      <c r="I193" s="44"/>
      <c r="J193" s="44">
        <f t="shared" si="110"/>
        <v>0</v>
      </c>
      <c r="K193" s="42"/>
      <c r="L193" s="42">
        <f t="shared" si="101"/>
        <v>0</v>
      </c>
      <c r="M193" s="42"/>
      <c r="N193" s="42"/>
      <c r="O193" s="101"/>
      <c r="P193" s="45"/>
      <c r="Q193" s="42"/>
      <c r="R193" s="42"/>
      <c r="S193" s="42"/>
      <c r="T193" s="12">
        <f t="shared" si="111"/>
        <v>0</v>
      </c>
      <c r="U193" s="45"/>
      <c r="V193" s="12">
        <f t="shared" si="116"/>
        <v>0</v>
      </c>
      <c r="W193" s="12">
        <f t="shared" si="112"/>
        <v>0</v>
      </c>
      <c r="X193" s="12"/>
      <c r="Y193" s="12">
        <f t="shared" si="113"/>
        <v>0</v>
      </c>
      <c r="Z193" s="12"/>
      <c r="AA193" s="12">
        <f t="shared" si="114"/>
        <v>0</v>
      </c>
      <c r="AB193" s="12"/>
      <c r="AC193" s="12">
        <f t="shared" si="115"/>
        <v>0</v>
      </c>
      <c r="AD193" s="42"/>
      <c r="AE193" s="12"/>
    </row>
    <row r="194" spans="1:31" s="46" customFormat="1" ht="21">
      <c r="A194" s="42" t="s">
        <v>0</v>
      </c>
      <c r="B194" s="42" t="s">
        <v>1</v>
      </c>
      <c r="C194" s="45" t="s">
        <v>1371</v>
      </c>
      <c r="D194" s="45" t="s">
        <v>225</v>
      </c>
      <c r="E194" s="29" t="s">
        <v>907</v>
      </c>
      <c r="F194" s="47" t="s">
        <v>140</v>
      </c>
      <c r="G194" s="42"/>
      <c r="H194" s="42"/>
      <c r="I194" s="44">
        <v>49.2</v>
      </c>
      <c r="J194" s="44">
        <f t="shared" si="110"/>
        <v>49.2</v>
      </c>
      <c r="K194" s="42">
        <v>10000</v>
      </c>
      <c r="L194" s="42">
        <f t="shared" si="101"/>
        <v>492000</v>
      </c>
      <c r="M194" s="42"/>
      <c r="N194" s="42"/>
      <c r="O194" s="101"/>
      <c r="P194" s="45"/>
      <c r="Q194" s="42"/>
      <c r="R194" s="100"/>
      <c r="S194" s="42"/>
      <c r="T194" s="12">
        <f t="shared" si="111"/>
        <v>0</v>
      </c>
      <c r="U194" s="45"/>
      <c r="V194" s="12">
        <f t="shared" si="116"/>
        <v>0</v>
      </c>
      <c r="W194" s="12">
        <f t="shared" si="112"/>
        <v>0</v>
      </c>
      <c r="X194" s="116"/>
      <c r="Y194" s="117">
        <f t="shared" si="113"/>
        <v>492000</v>
      </c>
      <c r="Z194" s="12"/>
      <c r="AA194" s="12">
        <f t="shared" si="114"/>
        <v>492000</v>
      </c>
      <c r="AB194" s="12">
        <v>0.3</v>
      </c>
      <c r="AC194" s="12">
        <f t="shared" si="115"/>
        <v>1476</v>
      </c>
      <c r="AD194" s="42"/>
      <c r="AE194" s="12"/>
    </row>
    <row r="195" spans="1:31" s="46" customFormat="1" ht="21">
      <c r="A195" s="42" t="s">
        <v>0</v>
      </c>
      <c r="B195" s="42" t="s">
        <v>1</v>
      </c>
      <c r="C195" s="45" t="s">
        <v>1372</v>
      </c>
      <c r="D195" s="45" t="s">
        <v>226</v>
      </c>
      <c r="E195" s="29" t="s">
        <v>907</v>
      </c>
      <c r="F195" s="47" t="s">
        <v>140</v>
      </c>
      <c r="G195" s="42"/>
      <c r="H195" s="42"/>
      <c r="I195" s="44">
        <v>50.3</v>
      </c>
      <c r="J195" s="44">
        <f t="shared" si="110"/>
        <v>50.3</v>
      </c>
      <c r="K195" s="42">
        <v>10000</v>
      </c>
      <c r="L195" s="42">
        <f t="shared" si="101"/>
        <v>503000</v>
      </c>
      <c r="M195" s="42"/>
      <c r="N195" s="42"/>
      <c r="O195" s="101"/>
      <c r="P195" s="45"/>
      <c r="Q195" s="42"/>
      <c r="R195" s="100"/>
      <c r="S195" s="42"/>
      <c r="T195" s="12">
        <f t="shared" si="111"/>
        <v>0</v>
      </c>
      <c r="U195" s="45"/>
      <c r="V195" s="12">
        <f t="shared" si="116"/>
        <v>0</v>
      </c>
      <c r="W195" s="12">
        <f t="shared" si="112"/>
        <v>0</v>
      </c>
      <c r="X195" s="116"/>
      <c r="Y195" s="117">
        <f t="shared" si="113"/>
        <v>503000</v>
      </c>
      <c r="Z195" s="12"/>
      <c r="AA195" s="12">
        <f t="shared" si="114"/>
        <v>503000</v>
      </c>
      <c r="AB195" s="12">
        <v>0.3</v>
      </c>
      <c r="AC195" s="12">
        <f t="shared" si="115"/>
        <v>1509</v>
      </c>
      <c r="AD195" s="42"/>
      <c r="AE195" s="12"/>
    </row>
    <row r="196" spans="1:31" s="46" customFormat="1" ht="21">
      <c r="A196" s="42"/>
      <c r="B196" s="42"/>
      <c r="C196" s="45"/>
      <c r="D196" s="31"/>
      <c r="E196" s="31"/>
      <c r="F196" s="47"/>
      <c r="G196" s="42"/>
      <c r="H196" s="42"/>
      <c r="I196" s="44"/>
      <c r="J196" s="44">
        <f t="shared" si="110"/>
        <v>0</v>
      </c>
      <c r="K196" s="42"/>
      <c r="L196" s="42">
        <f t="shared" si="101"/>
        <v>0</v>
      </c>
      <c r="M196" s="42"/>
      <c r="N196" s="42"/>
      <c r="O196" s="101"/>
      <c r="P196" s="45"/>
      <c r="Q196" s="42"/>
      <c r="R196" s="42"/>
      <c r="S196" s="42"/>
      <c r="T196" s="12">
        <f t="shared" si="111"/>
        <v>0</v>
      </c>
      <c r="U196" s="45"/>
      <c r="V196" s="12">
        <f t="shared" si="116"/>
        <v>0</v>
      </c>
      <c r="W196" s="12">
        <f t="shared" si="112"/>
        <v>0</v>
      </c>
      <c r="X196" s="12"/>
      <c r="Y196" s="12">
        <f t="shared" si="113"/>
        <v>0</v>
      </c>
      <c r="Z196" s="12"/>
      <c r="AA196" s="12">
        <f t="shared" si="114"/>
        <v>0</v>
      </c>
      <c r="AB196" s="12"/>
      <c r="AC196" s="12">
        <f t="shared" si="115"/>
        <v>0</v>
      </c>
      <c r="AD196" s="42"/>
      <c r="AE196" s="12"/>
    </row>
    <row r="197" spans="1:31" s="46" customFormat="1" ht="21">
      <c r="A197" s="42"/>
      <c r="B197" s="42"/>
      <c r="C197" s="45"/>
      <c r="D197" s="31"/>
      <c r="E197" s="31"/>
      <c r="F197" s="47"/>
      <c r="G197" s="42"/>
      <c r="H197" s="42"/>
      <c r="I197" s="44"/>
      <c r="J197" s="44">
        <f t="shared" si="110"/>
        <v>0</v>
      </c>
      <c r="K197" s="42"/>
      <c r="L197" s="42">
        <f t="shared" si="101"/>
        <v>0</v>
      </c>
      <c r="M197" s="42"/>
      <c r="N197" s="42"/>
      <c r="O197" s="101"/>
      <c r="P197" s="45"/>
      <c r="Q197" s="42"/>
      <c r="R197" s="42"/>
      <c r="S197" s="42"/>
      <c r="T197" s="12">
        <f t="shared" si="111"/>
        <v>0</v>
      </c>
      <c r="U197" s="45"/>
      <c r="V197" s="12">
        <f t="shared" si="116"/>
        <v>0</v>
      </c>
      <c r="W197" s="12">
        <f t="shared" si="112"/>
        <v>0</v>
      </c>
      <c r="X197" s="12"/>
      <c r="Y197" s="12">
        <f t="shared" si="113"/>
        <v>0</v>
      </c>
      <c r="Z197" s="12"/>
      <c r="AA197" s="12">
        <f t="shared" si="114"/>
        <v>0</v>
      </c>
      <c r="AB197" s="12"/>
      <c r="AC197" s="12">
        <f t="shared" si="115"/>
        <v>0</v>
      </c>
      <c r="AD197" s="42"/>
      <c r="AE197" s="12"/>
    </row>
    <row r="198" spans="1:31" s="46" customFormat="1" ht="21">
      <c r="A198" s="42" t="s">
        <v>0</v>
      </c>
      <c r="B198" s="42" t="s">
        <v>152</v>
      </c>
      <c r="C198" s="45" t="s">
        <v>1373</v>
      </c>
      <c r="D198" s="51" t="s">
        <v>227</v>
      </c>
      <c r="E198" s="29" t="s">
        <v>907</v>
      </c>
      <c r="F198" s="47" t="s">
        <v>140</v>
      </c>
      <c r="G198" s="42"/>
      <c r="H198" s="42">
        <v>1</v>
      </c>
      <c r="I198" s="44">
        <v>70</v>
      </c>
      <c r="J198" s="44">
        <f aca="true" t="shared" si="117" ref="J198:J205">+I198+(H198*100)+(G198*400)</f>
        <v>170</v>
      </c>
      <c r="K198" s="42">
        <v>500</v>
      </c>
      <c r="L198" s="42">
        <f aca="true" t="shared" si="118" ref="L198:L217">+K198*J198</f>
        <v>85000</v>
      </c>
      <c r="M198" s="42"/>
      <c r="N198" s="42"/>
      <c r="O198" s="101"/>
      <c r="P198" s="45"/>
      <c r="Q198" s="42"/>
      <c r="R198" s="100"/>
      <c r="S198" s="42"/>
      <c r="T198" s="12">
        <f aca="true" t="shared" si="119" ref="T198:T205">+Q198*S198</f>
        <v>0</v>
      </c>
      <c r="U198" s="45"/>
      <c r="V198" s="12">
        <f aca="true" t="shared" si="120" ref="V198:V205">+T198*0</f>
        <v>0</v>
      </c>
      <c r="W198" s="12">
        <f aca="true" t="shared" si="121" ref="W198:W205">+T198-V198</f>
        <v>0</v>
      </c>
      <c r="X198" s="116"/>
      <c r="Y198" s="117">
        <f aca="true" t="shared" si="122" ref="Y198:Y205">+L198+W198</f>
        <v>85000</v>
      </c>
      <c r="Z198" s="12"/>
      <c r="AA198" s="12">
        <f aca="true" t="shared" si="123" ref="AA198:AA205">+Y198-Z198</f>
        <v>85000</v>
      </c>
      <c r="AB198" s="12">
        <v>0.3</v>
      </c>
      <c r="AC198" s="12">
        <f aca="true" t="shared" si="124" ref="AC198:AC205">+AA198*AB198/100</f>
        <v>255</v>
      </c>
      <c r="AD198" s="42"/>
      <c r="AE198" s="12"/>
    </row>
    <row r="199" spans="1:31" s="46" customFormat="1" ht="21">
      <c r="A199" s="42" t="s">
        <v>0</v>
      </c>
      <c r="B199" s="42" t="s">
        <v>1</v>
      </c>
      <c r="C199" s="45" t="s">
        <v>1374</v>
      </c>
      <c r="D199" s="45" t="s">
        <v>228</v>
      </c>
      <c r="E199" s="29" t="s">
        <v>907</v>
      </c>
      <c r="F199" s="47" t="s">
        <v>177</v>
      </c>
      <c r="G199" s="42"/>
      <c r="H199" s="42"/>
      <c r="I199" s="44">
        <v>43.2</v>
      </c>
      <c r="J199" s="44">
        <f t="shared" si="117"/>
        <v>43.2</v>
      </c>
      <c r="K199" s="42">
        <v>15000</v>
      </c>
      <c r="L199" s="42">
        <f t="shared" si="118"/>
        <v>648000</v>
      </c>
      <c r="M199" s="42"/>
      <c r="N199" s="42"/>
      <c r="O199" s="101"/>
      <c r="P199" s="45"/>
      <c r="Q199" s="42"/>
      <c r="R199" s="100"/>
      <c r="S199" s="42"/>
      <c r="T199" s="12">
        <f t="shared" si="119"/>
        <v>0</v>
      </c>
      <c r="U199" s="45"/>
      <c r="V199" s="12">
        <f t="shared" si="120"/>
        <v>0</v>
      </c>
      <c r="W199" s="12">
        <f t="shared" si="121"/>
        <v>0</v>
      </c>
      <c r="X199" s="116"/>
      <c r="Y199" s="117">
        <f t="shared" si="122"/>
        <v>648000</v>
      </c>
      <c r="Z199" s="12">
        <f>+Y199</f>
        <v>648000</v>
      </c>
      <c r="AA199" s="12">
        <f t="shared" si="123"/>
        <v>0</v>
      </c>
      <c r="AB199" s="12"/>
      <c r="AC199" s="12">
        <f t="shared" si="124"/>
        <v>0</v>
      </c>
      <c r="AD199" s="42"/>
      <c r="AE199" s="12"/>
    </row>
    <row r="200" spans="1:31" s="46" customFormat="1" ht="21">
      <c r="A200" s="42" t="s">
        <v>0</v>
      </c>
      <c r="B200" s="42" t="s">
        <v>1</v>
      </c>
      <c r="C200" s="45" t="s">
        <v>1375</v>
      </c>
      <c r="D200" s="45" t="s">
        <v>229</v>
      </c>
      <c r="E200" s="29" t="s">
        <v>907</v>
      </c>
      <c r="F200" s="47" t="s">
        <v>177</v>
      </c>
      <c r="G200" s="42"/>
      <c r="H200" s="42"/>
      <c r="I200" s="44">
        <v>44</v>
      </c>
      <c r="J200" s="44">
        <f t="shared" si="117"/>
        <v>44</v>
      </c>
      <c r="K200" s="42">
        <v>15000</v>
      </c>
      <c r="L200" s="42">
        <f t="shared" si="118"/>
        <v>660000</v>
      </c>
      <c r="M200" s="42"/>
      <c r="N200" s="42"/>
      <c r="O200" s="101"/>
      <c r="P200" s="45"/>
      <c r="Q200" s="42"/>
      <c r="R200" s="100"/>
      <c r="S200" s="42"/>
      <c r="T200" s="12">
        <f t="shared" si="119"/>
        <v>0</v>
      </c>
      <c r="U200" s="45"/>
      <c r="V200" s="12">
        <f t="shared" si="120"/>
        <v>0</v>
      </c>
      <c r="W200" s="12">
        <f t="shared" si="121"/>
        <v>0</v>
      </c>
      <c r="X200" s="116"/>
      <c r="Y200" s="117">
        <f t="shared" si="122"/>
        <v>660000</v>
      </c>
      <c r="Z200" s="12">
        <f aca="true" t="shared" si="125" ref="Z200:Z205">+Y200</f>
        <v>660000</v>
      </c>
      <c r="AA200" s="12">
        <f t="shared" si="123"/>
        <v>0</v>
      </c>
      <c r="AB200" s="12"/>
      <c r="AC200" s="12">
        <f t="shared" si="124"/>
        <v>0</v>
      </c>
      <c r="AD200" s="42"/>
      <c r="AE200" s="12"/>
    </row>
    <row r="201" spans="1:31" s="46" customFormat="1" ht="21">
      <c r="A201" s="42" t="s">
        <v>0</v>
      </c>
      <c r="B201" s="42" t="s">
        <v>1</v>
      </c>
      <c r="C201" s="45" t="s">
        <v>1376</v>
      </c>
      <c r="D201" s="45" t="s">
        <v>230</v>
      </c>
      <c r="E201" s="29" t="s">
        <v>907</v>
      </c>
      <c r="F201" s="47" t="s">
        <v>177</v>
      </c>
      <c r="G201" s="42"/>
      <c r="H201" s="42"/>
      <c r="I201" s="44">
        <v>9.1</v>
      </c>
      <c r="J201" s="44">
        <f t="shared" si="117"/>
        <v>9.1</v>
      </c>
      <c r="K201" s="42">
        <v>15000</v>
      </c>
      <c r="L201" s="42">
        <f t="shared" si="118"/>
        <v>136500</v>
      </c>
      <c r="M201" s="42"/>
      <c r="N201" s="42"/>
      <c r="O201" s="101"/>
      <c r="P201" s="45"/>
      <c r="Q201" s="42"/>
      <c r="R201" s="100"/>
      <c r="S201" s="42"/>
      <c r="T201" s="12">
        <f t="shared" si="119"/>
        <v>0</v>
      </c>
      <c r="U201" s="45"/>
      <c r="V201" s="12">
        <f t="shared" si="120"/>
        <v>0</v>
      </c>
      <c r="W201" s="12">
        <f t="shared" si="121"/>
        <v>0</v>
      </c>
      <c r="X201" s="116"/>
      <c r="Y201" s="117">
        <f t="shared" si="122"/>
        <v>136500</v>
      </c>
      <c r="Z201" s="12">
        <f t="shared" si="125"/>
        <v>136500</v>
      </c>
      <c r="AA201" s="12">
        <f t="shared" si="123"/>
        <v>0</v>
      </c>
      <c r="AB201" s="12"/>
      <c r="AC201" s="12">
        <f t="shared" si="124"/>
        <v>0</v>
      </c>
      <c r="AD201" s="42"/>
      <c r="AE201" s="12"/>
    </row>
    <row r="202" spans="1:31" s="46" customFormat="1" ht="21">
      <c r="A202" s="42" t="s">
        <v>0</v>
      </c>
      <c r="B202" s="42" t="s">
        <v>1</v>
      </c>
      <c r="C202" s="45" t="s">
        <v>1377</v>
      </c>
      <c r="D202" s="45" t="s">
        <v>231</v>
      </c>
      <c r="E202" s="29" t="s">
        <v>907</v>
      </c>
      <c r="F202" s="47" t="s">
        <v>177</v>
      </c>
      <c r="G202" s="42"/>
      <c r="H202" s="42"/>
      <c r="I202" s="44">
        <v>45.6</v>
      </c>
      <c r="J202" s="44">
        <f t="shared" si="117"/>
        <v>45.6</v>
      </c>
      <c r="K202" s="42">
        <v>15000</v>
      </c>
      <c r="L202" s="42">
        <f>+K202*J202</f>
        <v>684000</v>
      </c>
      <c r="M202" s="42"/>
      <c r="N202" s="42"/>
      <c r="O202" s="101"/>
      <c r="P202" s="45"/>
      <c r="Q202" s="42"/>
      <c r="R202" s="100"/>
      <c r="S202" s="42"/>
      <c r="T202" s="12">
        <f t="shared" si="119"/>
        <v>0</v>
      </c>
      <c r="U202" s="45"/>
      <c r="V202" s="12">
        <f t="shared" si="120"/>
        <v>0</v>
      </c>
      <c r="W202" s="12">
        <f t="shared" si="121"/>
        <v>0</v>
      </c>
      <c r="X202" s="116"/>
      <c r="Y202" s="117">
        <f t="shared" si="122"/>
        <v>684000</v>
      </c>
      <c r="Z202" s="12">
        <f t="shared" si="125"/>
        <v>684000</v>
      </c>
      <c r="AA202" s="12">
        <f t="shared" si="123"/>
        <v>0</v>
      </c>
      <c r="AB202" s="12"/>
      <c r="AC202" s="12">
        <f t="shared" si="124"/>
        <v>0</v>
      </c>
      <c r="AD202" s="42"/>
      <c r="AE202" s="12"/>
    </row>
    <row r="203" spans="1:31" s="46" customFormat="1" ht="21">
      <c r="A203" s="42" t="s">
        <v>0</v>
      </c>
      <c r="B203" s="42" t="s">
        <v>1</v>
      </c>
      <c r="C203" s="45" t="s">
        <v>1378</v>
      </c>
      <c r="D203" s="45" t="s">
        <v>232</v>
      </c>
      <c r="E203" s="29" t="s">
        <v>907</v>
      </c>
      <c r="F203" s="47" t="s">
        <v>177</v>
      </c>
      <c r="G203" s="42"/>
      <c r="H203" s="42"/>
      <c r="I203" s="44">
        <v>47.2</v>
      </c>
      <c r="J203" s="44">
        <f t="shared" si="117"/>
        <v>47.2</v>
      </c>
      <c r="K203" s="42">
        <v>15000</v>
      </c>
      <c r="L203" s="42">
        <f>+K203*J203</f>
        <v>708000</v>
      </c>
      <c r="M203" s="42"/>
      <c r="N203" s="42"/>
      <c r="O203" s="101"/>
      <c r="P203" s="45"/>
      <c r="Q203" s="42"/>
      <c r="R203" s="100"/>
      <c r="S203" s="42"/>
      <c r="T203" s="12">
        <f t="shared" si="119"/>
        <v>0</v>
      </c>
      <c r="U203" s="45"/>
      <c r="V203" s="12">
        <f t="shared" si="120"/>
        <v>0</v>
      </c>
      <c r="W203" s="12">
        <f t="shared" si="121"/>
        <v>0</v>
      </c>
      <c r="X203" s="116"/>
      <c r="Y203" s="117">
        <f t="shared" si="122"/>
        <v>708000</v>
      </c>
      <c r="Z203" s="12">
        <f t="shared" si="125"/>
        <v>708000</v>
      </c>
      <c r="AA203" s="12">
        <f t="shared" si="123"/>
        <v>0</v>
      </c>
      <c r="AB203" s="12"/>
      <c r="AC203" s="12">
        <f t="shared" si="124"/>
        <v>0</v>
      </c>
      <c r="AD203" s="42"/>
      <c r="AE203" s="12"/>
    </row>
    <row r="204" spans="1:31" s="46" customFormat="1" ht="21">
      <c r="A204" s="42" t="s">
        <v>0</v>
      </c>
      <c r="B204" s="42" t="s">
        <v>1</v>
      </c>
      <c r="C204" s="45" t="s">
        <v>1379</v>
      </c>
      <c r="D204" s="45" t="s">
        <v>233</v>
      </c>
      <c r="E204" s="29" t="s">
        <v>907</v>
      </c>
      <c r="F204" s="47" t="s">
        <v>177</v>
      </c>
      <c r="G204" s="42"/>
      <c r="H204" s="42"/>
      <c r="I204" s="44">
        <v>46.4</v>
      </c>
      <c r="J204" s="44">
        <f t="shared" si="117"/>
        <v>46.4</v>
      </c>
      <c r="K204" s="42">
        <v>15000</v>
      </c>
      <c r="L204" s="42">
        <f>+K204*J204</f>
        <v>696000</v>
      </c>
      <c r="M204" s="42"/>
      <c r="N204" s="42"/>
      <c r="O204" s="101"/>
      <c r="P204" s="45"/>
      <c r="Q204" s="42"/>
      <c r="R204" s="100"/>
      <c r="S204" s="42"/>
      <c r="T204" s="12">
        <f t="shared" si="119"/>
        <v>0</v>
      </c>
      <c r="U204" s="45"/>
      <c r="V204" s="12">
        <f t="shared" si="120"/>
        <v>0</v>
      </c>
      <c r="W204" s="12">
        <f t="shared" si="121"/>
        <v>0</v>
      </c>
      <c r="X204" s="116"/>
      <c r="Y204" s="117">
        <f t="shared" si="122"/>
        <v>696000</v>
      </c>
      <c r="Z204" s="12">
        <f t="shared" si="125"/>
        <v>696000</v>
      </c>
      <c r="AA204" s="12">
        <f t="shared" si="123"/>
        <v>0</v>
      </c>
      <c r="AB204" s="12"/>
      <c r="AC204" s="12">
        <f t="shared" si="124"/>
        <v>0</v>
      </c>
      <c r="AD204" s="42"/>
      <c r="AE204" s="12"/>
    </row>
    <row r="205" spans="1:31" s="46" customFormat="1" ht="21">
      <c r="A205" s="42" t="s">
        <v>0</v>
      </c>
      <c r="B205" s="42" t="s">
        <v>1</v>
      </c>
      <c r="C205" s="45" t="s">
        <v>1380</v>
      </c>
      <c r="D205" s="45" t="s">
        <v>234</v>
      </c>
      <c r="E205" s="29" t="s">
        <v>907</v>
      </c>
      <c r="F205" s="47" t="s">
        <v>177</v>
      </c>
      <c r="G205" s="42"/>
      <c r="H205" s="42"/>
      <c r="I205" s="44">
        <v>63.3</v>
      </c>
      <c r="J205" s="44">
        <f t="shared" si="117"/>
        <v>63.3</v>
      </c>
      <c r="K205" s="42">
        <v>15000</v>
      </c>
      <c r="L205" s="42">
        <f>+K205*J205</f>
        <v>949500</v>
      </c>
      <c r="M205" s="42"/>
      <c r="N205" s="42"/>
      <c r="O205" s="101"/>
      <c r="P205" s="45"/>
      <c r="Q205" s="42"/>
      <c r="R205" s="100"/>
      <c r="S205" s="42"/>
      <c r="T205" s="12">
        <f t="shared" si="119"/>
        <v>0</v>
      </c>
      <c r="U205" s="45"/>
      <c r="V205" s="12">
        <f t="shared" si="120"/>
        <v>0</v>
      </c>
      <c r="W205" s="12">
        <f t="shared" si="121"/>
        <v>0</v>
      </c>
      <c r="X205" s="116"/>
      <c r="Y205" s="117">
        <f t="shared" si="122"/>
        <v>949500</v>
      </c>
      <c r="Z205" s="12">
        <f t="shared" si="125"/>
        <v>949500</v>
      </c>
      <c r="AA205" s="12">
        <f t="shared" si="123"/>
        <v>0</v>
      </c>
      <c r="AB205" s="12"/>
      <c r="AC205" s="12">
        <f t="shared" si="124"/>
        <v>0</v>
      </c>
      <c r="AD205" s="42"/>
      <c r="AE205" s="12"/>
    </row>
    <row r="206" spans="1:31" s="46" customFormat="1" ht="21">
      <c r="A206" s="42" t="s">
        <v>0</v>
      </c>
      <c r="B206" s="42" t="s">
        <v>1</v>
      </c>
      <c r="C206" s="45" t="s">
        <v>1381</v>
      </c>
      <c r="D206" s="45" t="s">
        <v>235</v>
      </c>
      <c r="E206" s="29" t="s">
        <v>907</v>
      </c>
      <c r="F206" s="47" t="s">
        <v>140</v>
      </c>
      <c r="G206" s="42"/>
      <c r="H206" s="42"/>
      <c r="I206" s="44">
        <v>50.9</v>
      </c>
      <c r="J206" s="44">
        <f aca="true" t="shared" si="126" ref="J206:J237">+I206+(H206*100)+(G206*400)</f>
        <v>50.9</v>
      </c>
      <c r="K206" s="42">
        <v>12000</v>
      </c>
      <c r="L206" s="42">
        <f t="shared" si="118"/>
        <v>610800</v>
      </c>
      <c r="M206" s="42"/>
      <c r="N206" s="42"/>
      <c r="O206" s="101"/>
      <c r="P206" s="45"/>
      <c r="Q206" s="42"/>
      <c r="R206" s="100"/>
      <c r="S206" s="42"/>
      <c r="T206" s="12">
        <f aca="true" t="shared" si="127" ref="T206:T237">+Q206*S206</f>
        <v>0</v>
      </c>
      <c r="U206" s="45"/>
      <c r="V206" s="12">
        <f>+T206*0</f>
        <v>0</v>
      </c>
      <c r="W206" s="12">
        <f aca="true" t="shared" si="128" ref="W206:W237">+T206-V206</f>
        <v>0</v>
      </c>
      <c r="X206" s="116"/>
      <c r="Y206" s="117">
        <f aca="true" t="shared" si="129" ref="Y206:Y232">+L206+W206</f>
        <v>610800</v>
      </c>
      <c r="Z206" s="12"/>
      <c r="AA206" s="12">
        <f aca="true" t="shared" si="130" ref="AA206:AA237">+Y206-Z206</f>
        <v>610800</v>
      </c>
      <c r="AB206" s="12">
        <v>0.3</v>
      </c>
      <c r="AC206" s="12">
        <f aca="true" t="shared" si="131" ref="AC206:AC237">+AA206*AB206/100</f>
        <v>1832.4</v>
      </c>
      <c r="AD206" s="42"/>
      <c r="AE206" s="12"/>
    </row>
    <row r="207" spans="1:31" s="46" customFormat="1" ht="21">
      <c r="A207" s="42"/>
      <c r="B207" s="42"/>
      <c r="C207" s="45"/>
      <c r="D207" s="31"/>
      <c r="E207" s="31"/>
      <c r="F207" s="47"/>
      <c r="G207" s="42"/>
      <c r="H207" s="42"/>
      <c r="I207" s="44"/>
      <c r="J207" s="44">
        <f t="shared" si="126"/>
        <v>0</v>
      </c>
      <c r="K207" s="42"/>
      <c r="L207" s="42">
        <f t="shared" si="118"/>
        <v>0</v>
      </c>
      <c r="M207" s="42"/>
      <c r="N207" s="42"/>
      <c r="O207" s="101"/>
      <c r="P207" s="45"/>
      <c r="Q207" s="42"/>
      <c r="R207" s="42"/>
      <c r="S207" s="42"/>
      <c r="T207" s="12">
        <f t="shared" si="127"/>
        <v>0</v>
      </c>
      <c r="U207" s="45"/>
      <c r="V207" s="12">
        <f>+T207*0</f>
        <v>0</v>
      </c>
      <c r="W207" s="12">
        <f t="shared" si="128"/>
        <v>0</v>
      </c>
      <c r="X207" s="12"/>
      <c r="Y207" s="12">
        <f t="shared" si="129"/>
        <v>0</v>
      </c>
      <c r="Z207" s="12"/>
      <c r="AA207" s="12">
        <f t="shared" si="130"/>
        <v>0</v>
      </c>
      <c r="AB207" s="12"/>
      <c r="AC207" s="12">
        <f t="shared" si="131"/>
        <v>0</v>
      </c>
      <c r="AD207" s="42"/>
      <c r="AE207" s="12"/>
    </row>
    <row r="208" spans="1:31" s="46" customFormat="1" ht="21">
      <c r="A208" s="42"/>
      <c r="B208" s="42"/>
      <c r="C208" s="45"/>
      <c r="D208" s="31"/>
      <c r="E208" s="31"/>
      <c r="F208" s="47"/>
      <c r="G208" s="42"/>
      <c r="H208" s="42"/>
      <c r="I208" s="44"/>
      <c r="J208" s="44">
        <f t="shared" si="126"/>
        <v>0</v>
      </c>
      <c r="K208" s="42"/>
      <c r="L208" s="42">
        <f t="shared" si="118"/>
        <v>0</v>
      </c>
      <c r="M208" s="42"/>
      <c r="N208" s="42"/>
      <c r="O208" s="101"/>
      <c r="P208" s="45"/>
      <c r="Q208" s="42"/>
      <c r="R208" s="42"/>
      <c r="S208" s="42"/>
      <c r="T208" s="12">
        <f t="shared" si="127"/>
        <v>0</v>
      </c>
      <c r="U208" s="45"/>
      <c r="V208" s="12">
        <f>+T208*0</f>
        <v>0</v>
      </c>
      <c r="W208" s="12">
        <f t="shared" si="128"/>
        <v>0</v>
      </c>
      <c r="X208" s="12"/>
      <c r="Y208" s="12">
        <f t="shared" si="129"/>
        <v>0</v>
      </c>
      <c r="Z208" s="12"/>
      <c r="AA208" s="12">
        <f t="shared" si="130"/>
        <v>0</v>
      </c>
      <c r="AB208" s="12"/>
      <c r="AC208" s="12">
        <f t="shared" si="131"/>
        <v>0</v>
      </c>
      <c r="AD208" s="42"/>
      <c r="AE208" s="12"/>
    </row>
    <row r="209" spans="1:31" s="46" customFormat="1" ht="21">
      <c r="A209" s="42" t="s">
        <v>0</v>
      </c>
      <c r="B209" s="42" t="s">
        <v>1</v>
      </c>
      <c r="C209" s="45" t="s">
        <v>1382</v>
      </c>
      <c r="D209" s="45" t="s">
        <v>236</v>
      </c>
      <c r="E209" s="29" t="s">
        <v>907</v>
      </c>
      <c r="F209" s="47" t="s">
        <v>143</v>
      </c>
      <c r="G209" s="42"/>
      <c r="H209" s="42"/>
      <c r="I209" s="44">
        <v>15.1</v>
      </c>
      <c r="J209" s="44">
        <f t="shared" si="126"/>
        <v>15.1</v>
      </c>
      <c r="K209" s="42">
        <v>50000</v>
      </c>
      <c r="L209" s="42">
        <f t="shared" si="118"/>
        <v>755000</v>
      </c>
      <c r="M209" s="42"/>
      <c r="N209" s="42" t="s">
        <v>60</v>
      </c>
      <c r="O209" s="101" t="s">
        <v>446</v>
      </c>
      <c r="P209" s="45">
        <v>3</v>
      </c>
      <c r="Q209" s="100">
        <v>120</v>
      </c>
      <c r="R209" s="100"/>
      <c r="S209" s="42">
        <v>7550</v>
      </c>
      <c r="T209" s="12">
        <f t="shared" si="127"/>
        <v>906000</v>
      </c>
      <c r="U209" s="102" t="s">
        <v>94</v>
      </c>
      <c r="V209" s="12">
        <f>+T209*0.46</f>
        <v>416760</v>
      </c>
      <c r="W209" s="12">
        <f t="shared" si="128"/>
        <v>489240</v>
      </c>
      <c r="X209" s="116"/>
      <c r="Y209" s="117">
        <f t="shared" si="129"/>
        <v>1244240</v>
      </c>
      <c r="Z209" s="12"/>
      <c r="AA209" s="12">
        <f t="shared" si="130"/>
        <v>1244240</v>
      </c>
      <c r="AB209" s="12">
        <v>0.3</v>
      </c>
      <c r="AC209" s="12">
        <f t="shared" si="131"/>
        <v>3732.72</v>
      </c>
      <c r="AD209" s="42"/>
      <c r="AE209" s="12"/>
    </row>
    <row r="210" spans="1:31" s="46" customFormat="1" ht="21">
      <c r="A210" s="42" t="s">
        <v>0</v>
      </c>
      <c r="B210" s="42" t="s">
        <v>1</v>
      </c>
      <c r="C210" s="45" t="s">
        <v>1383</v>
      </c>
      <c r="D210" s="51" t="s">
        <v>237</v>
      </c>
      <c r="E210" s="29" t="s">
        <v>907</v>
      </c>
      <c r="F210" s="47" t="s">
        <v>143</v>
      </c>
      <c r="G210" s="42"/>
      <c r="H210" s="42"/>
      <c r="I210" s="44">
        <v>16.5</v>
      </c>
      <c r="J210" s="44">
        <f t="shared" si="126"/>
        <v>16.5</v>
      </c>
      <c r="K210" s="42">
        <v>15000</v>
      </c>
      <c r="L210" s="42">
        <f t="shared" si="118"/>
        <v>247500</v>
      </c>
      <c r="M210" s="42"/>
      <c r="N210" s="42" t="s">
        <v>60</v>
      </c>
      <c r="O210" s="101" t="s">
        <v>446</v>
      </c>
      <c r="P210" s="45">
        <v>3</v>
      </c>
      <c r="Q210" s="100">
        <v>144</v>
      </c>
      <c r="R210" s="100"/>
      <c r="S210" s="42">
        <v>7550</v>
      </c>
      <c r="T210" s="12">
        <f t="shared" si="127"/>
        <v>1087200</v>
      </c>
      <c r="U210" s="102" t="s">
        <v>93</v>
      </c>
      <c r="V210" s="12">
        <f>+T210*0.44</f>
        <v>478368</v>
      </c>
      <c r="W210" s="12">
        <f t="shared" si="128"/>
        <v>608832</v>
      </c>
      <c r="X210" s="116"/>
      <c r="Y210" s="117">
        <f t="shared" si="129"/>
        <v>856332</v>
      </c>
      <c r="Z210" s="12"/>
      <c r="AA210" s="12">
        <f t="shared" si="130"/>
        <v>856332</v>
      </c>
      <c r="AB210" s="12">
        <v>0.3</v>
      </c>
      <c r="AC210" s="12">
        <f t="shared" si="131"/>
        <v>2568.9959999999996</v>
      </c>
      <c r="AD210" s="42"/>
      <c r="AE210" s="12"/>
    </row>
    <row r="211" spans="1:31" s="46" customFormat="1" ht="21">
      <c r="A211" s="42" t="s">
        <v>0</v>
      </c>
      <c r="B211" s="42" t="s">
        <v>1</v>
      </c>
      <c r="C211" s="45" t="s">
        <v>1384</v>
      </c>
      <c r="D211" s="45" t="s">
        <v>238</v>
      </c>
      <c r="E211" s="29" t="s">
        <v>907</v>
      </c>
      <c r="F211" s="47" t="s">
        <v>137</v>
      </c>
      <c r="G211" s="42"/>
      <c r="H211" s="42"/>
      <c r="I211" s="44">
        <v>49.8</v>
      </c>
      <c r="J211" s="44">
        <f t="shared" si="126"/>
        <v>49.8</v>
      </c>
      <c r="K211" s="42">
        <v>20000</v>
      </c>
      <c r="L211" s="42">
        <f t="shared" si="118"/>
        <v>996000</v>
      </c>
      <c r="M211" s="42"/>
      <c r="N211" s="42" t="s">
        <v>64</v>
      </c>
      <c r="O211" s="101" t="s">
        <v>446</v>
      </c>
      <c r="P211" s="45">
        <v>2</v>
      </c>
      <c r="Q211" s="100">
        <v>140</v>
      </c>
      <c r="R211" s="100"/>
      <c r="S211" s="42">
        <v>6550</v>
      </c>
      <c r="T211" s="12">
        <f t="shared" si="127"/>
        <v>917000</v>
      </c>
      <c r="U211" s="102" t="s">
        <v>87</v>
      </c>
      <c r="V211" s="12">
        <f>+T211*0.28</f>
        <v>256760.00000000003</v>
      </c>
      <c r="W211" s="12">
        <f t="shared" si="128"/>
        <v>660240</v>
      </c>
      <c r="X211" s="116"/>
      <c r="Y211" s="117">
        <f t="shared" si="129"/>
        <v>1656240</v>
      </c>
      <c r="Z211" s="12">
        <f>+Y211</f>
        <v>1656240</v>
      </c>
      <c r="AA211" s="12">
        <f t="shared" si="130"/>
        <v>0</v>
      </c>
      <c r="AB211" s="12"/>
      <c r="AC211" s="12">
        <f t="shared" si="131"/>
        <v>0</v>
      </c>
      <c r="AD211" s="42" t="s">
        <v>906</v>
      </c>
      <c r="AE211" s="12"/>
    </row>
    <row r="212" spans="1:31" s="46" customFormat="1" ht="21">
      <c r="A212" s="42" t="s">
        <v>0</v>
      </c>
      <c r="B212" s="42" t="s">
        <v>1</v>
      </c>
      <c r="C212" s="45" t="s">
        <v>1385</v>
      </c>
      <c r="D212" s="45" t="s">
        <v>239</v>
      </c>
      <c r="E212" s="29" t="s">
        <v>907</v>
      </c>
      <c r="F212" s="47" t="s">
        <v>143</v>
      </c>
      <c r="G212" s="42"/>
      <c r="H212" s="42"/>
      <c r="I212" s="44">
        <v>14.6</v>
      </c>
      <c r="J212" s="44">
        <f t="shared" si="126"/>
        <v>14.6</v>
      </c>
      <c r="K212" s="42">
        <v>50000</v>
      </c>
      <c r="L212" s="42">
        <f t="shared" si="118"/>
        <v>730000</v>
      </c>
      <c r="M212" s="42"/>
      <c r="N212" s="42" t="s">
        <v>60</v>
      </c>
      <c r="O212" s="101" t="s">
        <v>446</v>
      </c>
      <c r="P212" s="45">
        <v>3</v>
      </c>
      <c r="Q212" s="100">
        <v>120</v>
      </c>
      <c r="R212" s="100"/>
      <c r="S212" s="42">
        <v>7550</v>
      </c>
      <c r="T212" s="12">
        <f t="shared" si="127"/>
        <v>906000</v>
      </c>
      <c r="U212" s="102" t="s">
        <v>94</v>
      </c>
      <c r="V212" s="12">
        <f>+T212*0.46</f>
        <v>416760</v>
      </c>
      <c r="W212" s="12">
        <f t="shared" si="128"/>
        <v>489240</v>
      </c>
      <c r="X212" s="116"/>
      <c r="Y212" s="117">
        <f t="shared" si="129"/>
        <v>1219240</v>
      </c>
      <c r="Z212" s="12"/>
      <c r="AA212" s="12">
        <f t="shared" si="130"/>
        <v>1219240</v>
      </c>
      <c r="AB212" s="12">
        <v>0.3</v>
      </c>
      <c r="AC212" s="12">
        <f t="shared" si="131"/>
        <v>3657.72</v>
      </c>
      <c r="AD212" s="42"/>
      <c r="AE212" s="12"/>
    </row>
    <row r="213" spans="1:31" s="46" customFormat="1" ht="21">
      <c r="A213" s="42" t="s">
        <v>0</v>
      </c>
      <c r="B213" s="42" t="s">
        <v>1</v>
      </c>
      <c r="C213" s="45" t="s">
        <v>1386</v>
      </c>
      <c r="D213" s="45" t="s">
        <v>240</v>
      </c>
      <c r="E213" s="29" t="s">
        <v>907</v>
      </c>
      <c r="F213" s="47" t="s">
        <v>137</v>
      </c>
      <c r="G213" s="42"/>
      <c r="H213" s="42"/>
      <c r="I213" s="44">
        <v>62</v>
      </c>
      <c r="J213" s="44">
        <f t="shared" si="126"/>
        <v>62</v>
      </c>
      <c r="K213" s="42">
        <v>6000</v>
      </c>
      <c r="L213" s="42">
        <f t="shared" si="118"/>
        <v>372000</v>
      </c>
      <c r="M213" s="42"/>
      <c r="N213" s="42" t="s">
        <v>60</v>
      </c>
      <c r="O213" s="101" t="s">
        <v>446</v>
      </c>
      <c r="P213" s="45">
        <v>2</v>
      </c>
      <c r="Q213" s="100">
        <f>96+40</f>
        <v>136</v>
      </c>
      <c r="R213" s="100"/>
      <c r="S213" s="42">
        <v>7550</v>
      </c>
      <c r="T213" s="12">
        <f t="shared" si="127"/>
        <v>1026800</v>
      </c>
      <c r="U213" s="102" t="s">
        <v>93</v>
      </c>
      <c r="V213" s="12">
        <f>+T213*0.44</f>
        <v>451792</v>
      </c>
      <c r="W213" s="12">
        <f t="shared" si="128"/>
        <v>575008</v>
      </c>
      <c r="X213" s="116"/>
      <c r="Y213" s="117">
        <f t="shared" si="129"/>
        <v>947008</v>
      </c>
      <c r="Z213" s="12"/>
      <c r="AA213" s="12">
        <f t="shared" si="130"/>
        <v>947008</v>
      </c>
      <c r="AB213" s="12">
        <v>0.02</v>
      </c>
      <c r="AC213" s="12">
        <f t="shared" si="131"/>
        <v>189.4016</v>
      </c>
      <c r="AD213" s="42"/>
      <c r="AE213" s="12"/>
    </row>
    <row r="214" spans="1:31" s="46" customFormat="1" ht="21">
      <c r="A214" s="42" t="s">
        <v>0</v>
      </c>
      <c r="B214" s="42" t="s">
        <v>1</v>
      </c>
      <c r="C214" s="45" t="s">
        <v>1387</v>
      </c>
      <c r="D214" s="45" t="s">
        <v>241</v>
      </c>
      <c r="E214" s="29" t="s">
        <v>907</v>
      </c>
      <c r="F214" s="47" t="s">
        <v>177</v>
      </c>
      <c r="G214" s="42"/>
      <c r="H214" s="42"/>
      <c r="I214" s="44">
        <v>40.2</v>
      </c>
      <c r="J214" s="44">
        <f t="shared" si="126"/>
        <v>40.2</v>
      </c>
      <c r="K214" s="42">
        <v>6000</v>
      </c>
      <c r="L214" s="42">
        <f t="shared" si="118"/>
        <v>241200.00000000003</v>
      </c>
      <c r="M214" s="42"/>
      <c r="N214" s="42"/>
      <c r="O214" s="101"/>
      <c r="P214" s="45"/>
      <c r="Q214" s="42"/>
      <c r="R214" s="100"/>
      <c r="S214" s="42"/>
      <c r="T214" s="12">
        <f t="shared" si="127"/>
        <v>0</v>
      </c>
      <c r="U214" s="45"/>
      <c r="V214" s="12">
        <f>+T214*0</f>
        <v>0</v>
      </c>
      <c r="W214" s="12">
        <f t="shared" si="128"/>
        <v>0</v>
      </c>
      <c r="X214" s="116"/>
      <c r="Y214" s="117">
        <f t="shared" si="129"/>
        <v>241200.00000000003</v>
      </c>
      <c r="Z214" s="12">
        <f>+Y214</f>
        <v>241200.00000000003</v>
      </c>
      <c r="AA214" s="12">
        <f t="shared" si="130"/>
        <v>0</v>
      </c>
      <c r="AB214" s="12"/>
      <c r="AC214" s="12">
        <f t="shared" si="131"/>
        <v>0</v>
      </c>
      <c r="AD214" s="42"/>
      <c r="AE214" s="12"/>
    </row>
    <row r="215" spans="1:31" s="46" customFormat="1" ht="21">
      <c r="A215" s="42" t="s">
        <v>0</v>
      </c>
      <c r="B215" s="42" t="s">
        <v>1</v>
      </c>
      <c r="C215" s="45" t="s">
        <v>1388</v>
      </c>
      <c r="D215" s="45" t="s">
        <v>242</v>
      </c>
      <c r="E215" s="29" t="s">
        <v>907</v>
      </c>
      <c r="F215" s="47" t="s">
        <v>177</v>
      </c>
      <c r="G215" s="42"/>
      <c r="H215" s="42"/>
      <c r="I215" s="44">
        <v>40.5</v>
      </c>
      <c r="J215" s="44">
        <f t="shared" si="126"/>
        <v>40.5</v>
      </c>
      <c r="K215" s="42">
        <v>6000</v>
      </c>
      <c r="L215" s="42">
        <f t="shared" si="118"/>
        <v>243000</v>
      </c>
      <c r="M215" s="42"/>
      <c r="N215" s="42"/>
      <c r="O215" s="101"/>
      <c r="P215" s="45"/>
      <c r="Q215" s="42"/>
      <c r="R215" s="100"/>
      <c r="S215" s="42"/>
      <c r="T215" s="12">
        <f t="shared" si="127"/>
        <v>0</v>
      </c>
      <c r="U215" s="45"/>
      <c r="V215" s="12">
        <f>+T215*0</f>
        <v>0</v>
      </c>
      <c r="W215" s="12">
        <f t="shared" si="128"/>
        <v>0</v>
      </c>
      <c r="X215" s="116"/>
      <c r="Y215" s="117">
        <f t="shared" si="129"/>
        <v>243000</v>
      </c>
      <c r="Z215" s="12">
        <f>+Y215</f>
        <v>243000</v>
      </c>
      <c r="AA215" s="12">
        <f t="shared" si="130"/>
        <v>0</v>
      </c>
      <c r="AB215" s="12"/>
      <c r="AC215" s="12">
        <f t="shared" si="131"/>
        <v>0</v>
      </c>
      <c r="AD215" s="42"/>
      <c r="AE215" s="12"/>
    </row>
    <row r="216" spans="1:31" s="46" customFormat="1" ht="21">
      <c r="A216" s="42" t="s">
        <v>0</v>
      </c>
      <c r="B216" s="42" t="s">
        <v>1</v>
      </c>
      <c r="C216" s="45" t="s">
        <v>1389</v>
      </c>
      <c r="D216" s="45" t="s">
        <v>243</v>
      </c>
      <c r="E216" s="29" t="s">
        <v>907</v>
      </c>
      <c r="F216" s="47" t="s">
        <v>137</v>
      </c>
      <c r="G216" s="42"/>
      <c r="H216" s="42"/>
      <c r="I216" s="44">
        <v>61.3</v>
      </c>
      <c r="J216" s="44">
        <f t="shared" si="126"/>
        <v>61.3</v>
      </c>
      <c r="K216" s="42">
        <v>6000</v>
      </c>
      <c r="L216" s="42">
        <f t="shared" si="118"/>
        <v>367800</v>
      </c>
      <c r="M216" s="42"/>
      <c r="N216" s="42" t="s">
        <v>184</v>
      </c>
      <c r="O216" s="101" t="s">
        <v>446</v>
      </c>
      <c r="P216" s="45">
        <v>2</v>
      </c>
      <c r="Q216" s="100">
        <v>80</v>
      </c>
      <c r="R216" s="100"/>
      <c r="S216" s="42">
        <v>7550</v>
      </c>
      <c r="T216" s="12">
        <f t="shared" si="127"/>
        <v>604000</v>
      </c>
      <c r="U216" s="102" t="s">
        <v>90</v>
      </c>
      <c r="V216" s="12">
        <f>+T216*0.38</f>
        <v>229520</v>
      </c>
      <c r="W216" s="12">
        <f t="shared" si="128"/>
        <v>374480</v>
      </c>
      <c r="X216" s="116"/>
      <c r="Y216" s="117">
        <f t="shared" si="129"/>
        <v>742280</v>
      </c>
      <c r="Z216" s="12"/>
      <c r="AA216" s="12">
        <f t="shared" si="130"/>
        <v>742280</v>
      </c>
      <c r="AB216" s="12">
        <v>0.02</v>
      </c>
      <c r="AC216" s="12">
        <f t="shared" si="131"/>
        <v>148.45600000000002</v>
      </c>
      <c r="AD216" s="42"/>
      <c r="AE216" s="12"/>
    </row>
    <row r="217" spans="1:31" s="46" customFormat="1" ht="21">
      <c r="A217" s="42"/>
      <c r="B217" s="42"/>
      <c r="C217" s="45"/>
      <c r="D217" s="31"/>
      <c r="E217" s="31"/>
      <c r="F217" s="47"/>
      <c r="G217" s="42"/>
      <c r="H217" s="42"/>
      <c r="I217" s="44"/>
      <c r="J217" s="44">
        <f t="shared" si="126"/>
        <v>0</v>
      </c>
      <c r="K217" s="42"/>
      <c r="L217" s="42">
        <f t="shared" si="118"/>
        <v>0</v>
      </c>
      <c r="M217" s="42"/>
      <c r="N217" s="42"/>
      <c r="O217" s="101"/>
      <c r="P217" s="45"/>
      <c r="Q217" s="42"/>
      <c r="R217" s="42"/>
      <c r="S217" s="42"/>
      <c r="T217" s="12">
        <f t="shared" si="127"/>
        <v>0</v>
      </c>
      <c r="U217" s="45"/>
      <c r="V217" s="12">
        <f aca="true" t="shared" si="132" ref="V217:V222">+T217*0</f>
        <v>0</v>
      </c>
      <c r="W217" s="12">
        <f t="shared" si="128"/>
        <v>0</v>
      </c>
      <c r="X217" s="12"/>
      <c r="Y217" s="12">
        <f t="shared" si="129"/>
        <v>0</v>
      </c>
      <c r="Z217" s="12"/>
      <c r="AA217" s="12">
        <f t="shared" si="130"/>
        <v>0</v>
      </c>
      <c r="AB217" s="12"/>
      <c r="AC217" s="12">
        <f t="shared" si="131"/>
        <v>0</v>
      </c>
      <c r="AD217" s="42"/>
      <c r="AE217" s="12"/>
    </row>
    <row r="218" spans="1:31" s="46" customFormat="1" ht="21">
      <c r="A218" s="42" t="s">
        <v>0</v>
      </c>
      <c r="B218" s="42" t="s">
        <v>1</v>
      </c>
      <c r="C218" s="45" t="s">
        <v>1132</v>
      </c>
      <c r="D218" s="45" t="s">
        <v>244</v>
      </c>
      <c r="E218" s="10" t="s">
        <v>909</v>
      </c>
      <c r="F218" s="47" t="s">
        <v>140</v>
      </c>
      <c r="G218" s="42"/>
      <c r="H218" s="42"/>
      <c r="I218" s="44">
        <v>30.4</v>
      </c>
      <c r="J218" s="44">
        <f t="shared" si="126"/>
        <v>30.4</v>
      </c>
      <c r="K218" s="42">
        <v>10000</v>
      </c>
      <c r="L218" s="42">
        <f aca="true" t="shared" si="133" ref="L218:L232">+K218*J218</f>
        <v>304000</v>
      </c>
      <c r="M218" s="42"/>
      <c r="N218" s="42"/>
      <c r="O218" s="101"/>
      <c r="P218" s="45"/>
      <c r="Q218" s="42"/>
      <c r="R218" s="100"/>
      <c r="S218" s="42"/>
      <c r="T218" s="12">
        <f t="shared" si="127"/>
        <v>0</v>
      </c>
      <c r="U218" s="45"/>
      <c r="V218" s="12">
        <f t="shared" si="132"/>
        <v>0</v>
      </c>
      <c r="W218" s="12">
        <f t="shared" si="128"/>
        <v>0</v>
      </c>
      <c r="X218" s="116"/>
      <c r="Y218" s="117">
        <f t="shared" si="129"/>
        <v>304000</v>
      </c>
      <c r="Z218" s="12"/>
      <c r="AA218" s="12">
        <f t="shared" si="130"/>
        <v>304000</v>
      </c>
      <c r="AB218" s="12">
        <v>0.3</v>
      </c>
      <c r="AC218" s="12">
        <f t="shared" si="131"/>
        <v>912</v>
      </c>
      <c r="AD218" s="42"/>
      <c r="AE218" s="12"/>
    </row>
    <row r="219" spans="1:31" s="46" customFormat="1" ht="21">
      <c r="A219" s="42" t="s">
        <v>0</v>
      </c>
      <c r="B219" s="42" t="s">
        <v>1</v>
      </c>
      <c r="C219" s="45" t="s">
        <v>918</v>
      </c>
      <c r="D219" s="45" t="s">
        <v>245</v>
      </c>
      <c r="E219" s="10" t="s">
        <v>909</v>
      </c>
      <c r="F219" s="47" t="s">
        <v>140</v>
      </c>
      <c r="G219" s="42"/>
      <c r="H219" s="42"/>
      <c r="I219" s="44">
        <v>29.7</v>
      </c>
      <c r="J219" s="44">
        <f t="shared" si="126"/>
        <v>29.7</v>
      </c>
      <c r="K219" s="42">
        <v>10000</v>
      </c>
      <c r="L219" s="42">
        <f t="shared" si="133"/>
        <v>297000</v>
      </c>
      <c r="M219" s="42"/>
      <c r="N219" s="42"/>
      <c r="O219" s="101"/>
      <c r="P219" s="45"/>
      <c r="Q219" s="42"/>
      <c r="R219" s="100"/>
      <c r="S219" s="42"/>
      <c r="T219" s="12">
        <f t="shared" si="127"/>
        <v>0</v>
      </c>
      <c r="U219" s="45"/>
      <c r="V219" s="12">
        <f t="shared" si="132"/>
        <v>0</v>
      </c>
      <c r="W219" s="12">
        <f t="shared" si="128"/>
        <v>0</v>
      </c>
      <c r="X219" s="116"/>
      <c r="Y219" s="117">
        <f t="shared" si="129"/>
        <v>297000</v>
      </c>
      <c r="Z219" s="12"/>
      <c r="AA219" s="12">
        <f t="shared" si="130"/>
        <v>297000</v>
      </c>
      <c r="AB219" s="12">
        <v>0.3</v>
      </c>
      <c r="AC219" s="12">
        <f t="shared" si="131"/>
        <v>891</v>
      </c>
      <c r="AD219" s="42"/>
      <c r="AE219" s="12"/>
    </row>
    <row r="220" spans="1:31" s="46" customFormat="1" ht="21">
      <c r="A220" s="42" t="s">
        <v>0</v>
      </c>
      <c r="B220" s="42" t="s">
        <v>1</v>
      </c>
      <c r="C220" s="45" t="s">
        <v>1131</v>
      </c>
      <c r="D220" s="45" t="s">
        <v>246</v>
      </c>
      <c r="E220" s="10" t="s">
        <v>909</v>
      </c>
      <c r="F220" s="47" t="s">
        <v>140</v>
      </c>
      <c r="G220" s="42"/>
      <c r="H220" s="42"/>
      <c r="I220" s="44">
        <v>28.9</v>
      </c>
      <c r="J220" s="44">
        <f t="shared" si="126"/>
        <v>28.9</v>
      </c>
      <c r="K220" s="42">
        <v>10000</v>
      </c>
      <c r="L220" s="42">
        <f t="shared" si="133"/>
        <v>289000</v>
      </c>
      <c r="M220" s="42"/>
      <c r="N220" s="42"/>
      <c r="O220" s="101"/>
      <c r="P220" s="45"/>
      <c r="Q220" s="42"/>
      <c r="R220" s="100"/>
      <c r="S220" s="42"/>
      <c r="T220" s="12">
        <f t="shared" si="127"/>
        <v>0</v>
      </c>
      <c r="U220" s="45"/>
      <c r="V220" s="12">
        <f t="shared" si="132"/>
        <v>0</v>
      </c>
      <c r="W220" s="12">
        <f t="shared" si="128"/>
        <v>0</v>
      </c>
      <c r="X220" s="116"/>
      <c r="Y220" s="117">
        <f t="shared" si="129"/>
        <v>289000</v>
      </c>
      <c r="Z220" s="12"/>
      <c r="AA220" s="12">
        <f t="shared" si="130"/>
        <v>289000</v>
      </c>
      <c r="AB220" s="12">
        <v>0.3</v>
      </c>
      <c r="AC220" s="12">
        <f t="shared" si="131"/>
        <v>867</v>
      </c>
      <c r="AD220" s="42"/>
      <c r="AE220" s="12"/>
    </row>
    <row r="221" spans="1:31" s="46" customFormat="1" ht="22.5" customHeight="1">
      <c r="A221" s="42"/>
      <c r="B221" s="42"/>
      <c r="C221" s="45"/>
      <c r="D221" s="31"/>
      <c r="E221" s="31"/>
      <c r="F221" s="47"/>
      <c r="G221" s="42"/>
      <c r="H221" s="42"/>
      <c r="I221" s="44"/>
      <c r="J221" s="44">
        <f t="shared" si="126"/>
        <v>0</v>
      </c>
      <c r="K221" s="42"/>
      <c r="L221" s="42">
        <f t="shared" si="133"/>
        <v>0</v>
      </c>
      <c r="M221" s="42"/>
      <c r="N221" s="42"/>
      <c r="O221" s="101"/>
      <c r="P221" s="45"/>
      <c r="Q221" s="42"/>
      <c r="R221" s="42"/>
      <c r="S221" s="42"/>
      <c r="T221" s="12">
        <f t="shared" si="127"/>
        <v>0</v>
      </c>
      <c r="U221" s="45"/>
      <c r="V221" s="12">
        <f t="shared" si="132"/>
        <v>0</v>
      </c>
      <c r="W221" s="12">
        <f t="shared" si="128"/>
        <v>0</v>
      </c>
      <c r="X221" s="12"/>
      <c r="Y221" s="12">
        <f t="shared" si="129"/>
        <v>0</v>
      </c>
      <c r="Z221" s="12"/>
      <c r="AA221" s="12">
        <f t="shared" si="130"/>
        <v>0</v>
      </c>
      <c r="AB221" s="12"/>
      <c r="AC221" s="12">
        <f t="shared" si="131"/>
        <v>0</v>
      </c>
      <c r="AD221" s="42"/>
      <c r="AE221" s="12"/>
    </row>
    <row r="222" spans="1:31" s="46" customFormat="1" ht="21">
      <c r="A222" s="42" t="s">
        <v>0</v>
      </c>
      <c r="B222" s="42" t="s">
        <v>1</v>
      </c>
      <c r="C222" s="45" t="s">
        <v>1390</v>
      </c>
      <c r="D222" s="45" t="s">
        <v>247</v>
      </c>
      <c r="E222" s="29" t="s">
        <v>907</v>
      </c>
      <c r="F222" s="47" t="s">
        <v>140</v>
      </c>
      <c r="G222" s="42"/>
      <c r="H222" s="42"/>
      <c r="I222" s="44">
        <v>51.6</v>
      </c>
      <c r="J222" s="44">
        <f t="shared" si="126"/>
        <v>51.6</v>
      </c>
      <c r="K222" s="42">
        <v>12000</v>
      </c>
      <c r="L222" s="42">
        <f t="shared" si="133"/>
        <v>619200</v>
      </c>
      <c r="M222" s="42"/>
      <c r="N222" s="42"/>
      <c r="O222" s="101"/>
      <c r="P222" s="45"/>
      <c r="Q222" s="42"/>
      <c r="R222" s="100"/>
      <c r="S222" s="42"/>
      <c r="T222" s="12">
        <f t="shared" si="127"/>
        <v>0</v>
      </c>
      <c r="U222" s="45"/>
      <c r="V222" s="12">
        <f t="shared" si="132"/>
        <v>0</v>
      </c>
      <c r="W222" s="12">
        <f t="shared" si="128"/>
        <v>0</v>
      </c>
      <c r="X222" s="116"/>
      <c r="Y222" s="117">
        <f t="shared" si="129"/>
        <v>619200</v>
      </c>
      <c r="Z222" s="12"/>
      <c r="AA222" s="12">
        <f t="shared" si="130"/>
        <v>619200</v>
      </c>
      <c r="AB222" s="12">
        <v>0.3</v>
      </c>
      <c r="AC222" s="12">
        <f t="shared" si="131"/>
        <v>1857.6</v>
      </c>
      <c r="AD222" s="42"/>
      <c r="AE222" s="12"/>
    </row>
    <row r="223" spans="1:31" s="46" customFormat="1" ht="21">
      <c r="A223" s="42" t="s">
        <v>0</v>
      </c>
      <c r="B223" s="42" t="s">
        <v>1</v>
      </c>
      <c r="C223" s="45" t="s">
        <v>1391</v>
      </c>
      <c r="D223" s="51" t="s">
        <v>248</v>
      </c>
      <c r="E223" s="29" t="s">
        <v>907</v>
      </c>
      <c r="F223" s="47" t="s">
        <v>137</v>
      </c>
      <c r="G223" s="42"/>
      <c r="H223" s="42"/>
      <c r="I223" s="44">
        <v>51.4</v>
      </c>
      <c r="J223" s="44">
        <f t="shared" si="126"/>
        <v>51.4</v>
      </c>
      <c r="K223" s="42">
        <v>15000</v>
      </c>
      <c r="L223" s="42">
        <f t="shared" si="133"/>
        <v>771000</v>
      </c>
      <c r="M223" s="42"/>
      <c r="N223" s="42" t="s">
        <v>249</v>
      </c>
      <c r="O223" s="101" t="s">
        <v>446</v>
      </c>
      <c r="P223" s="45">
        <v>2</v>
      </c>
      <c r="Q223" s="100">
        <f>48*4</f>
        <v>192</v>
      </c>
      <c r="R223" s="100"/>
      <c r="S223" s="42">
        <v>6650</v>
      </c>
      <c r="T223" s="12">
        <f t="shared" si="127"/>
        <v>1276800</v>
      </c>
      <c r="U223" s="102" t="s">
        <v>88</v>
      </c>
      <c r="V223" s="12">
        <f>+T223*0.32</f>
        <v>408576</v>
      </c>
      <c r="W223" s="12">
        <f t="shared" si="128"/>
        <v>868224</v>
      </c>
      <c r="X223" s="116"/>
      <c r="Y223" s="117">
        <f t="shared" si="129"/>
        <v>1639224</v>
      </c>
      <c r="Z223" s="12"/>
      <c r="AA223" s="12">
        <f t="shared" si="130"/>
        <v>1639224</v>
      </c>
      <c r="AB223" s="12">
        <v>0.02</v>
      </c>
      <c r="AC223" s="12">
        <f t="shared" si="131"/>
        <v>327.8448</v>
      </c>
      <c r="AD223" s="42"/>
      <c r="AE223" s="12"/>
    </row>
    <row r="224" spans="1:31" s="46" customFormat="1" ht="21">
      <c r="A224" s="42"/>
      <c r="B224" s="42"/>
      <c r="C224" s="45"/>
      <c r="D224" s="31"/>
      <c r="E224" s="31"/>
      <c r="F224" s="47"/>
      <c r="G224" s="42"/>
      <c r="H224" s="42"/>
      <c r="I224" s="44"/>
      <c r="J224" s="44">
        <f t="shared" si="126"/>
        <v>0</v>
      </c>
      <c r="K224" s="42"/>
      <c r="L224" s="42">
        <f t="shared" si="133"/>
        <v>0</v>
      </c>
      <c r="M224" s="42"/>
      <c r="N224" s="42"/>
      <c r="O224" s="101"/>
      <c r="P224" s="45"/>
      <c r="Q224" s="42"/>
      <c r="R224" s="42"/>
      <c r="S224" s="42"/>
      <c r="T224" s="12">
        <f t="shared" si="127"/>
        <v>0</v>
      </c>
      <c r="U224" s="45"/>
      <c r="V224" s="12">
        <f aca="true" t="shared" si="134" ref="V224:V230">+T224*0</f>
        <v>0</v>
      </c>
      <c r="W224" s="12">
        <f t="shared" si="128"/>
        <v>0</v>
      </c>
      <c r="X224" s="12"/>
      <c r="Y224" s="12">
        <f t="shared" si="129"/>
        <v>0</v>
      </c>
      <c r="Z224" s="12"/>
      <c r="AA224" s="12">
        <f t="shared" si="130"/>
        <v>0</v>
      </c>
      <c r="AB224" s="12"/>
      <c r="AC224" s="12">
        <f t="shared" si="131"/>
        <v>0</v>
      </c>
      <c r="AD224" s="42"/>
      <c r="AE224" s="12"/>
    </row>
    <row r="225" spans="1:31" s="46" customFormat="1" ht="21">
      <c r="A225" s="42"/>
      <c r="B225" s="42"/>
      <c r="C225" s="45"/>
      <c r="D225" s="31"/>
      <c r="E225" s="31"/>
      <c r="F225" s="47"/>
      <c r="G225" s="42"/>
      <c r="H225" s="42"/>
      <c r="I225" s="44"/>
      <c r="J225" s="44">
        <f t="shared" si="126"/>
        <v>0</v>
      </c>
      <c r="K225" s="42"/>
      <c r="L225" s="42">
        <f t="shared" si="133"/>
        <v>0</v>
      </c>
      <c r="M225" s="42"/>
      <c r="N225" s="42"/>
      <c r="O225" s="101"/>
      <c r="P225" s="45"/>
      <c r="Q225" s="42"/>
      <c r="R225" s="42"/>
      <c r="S225" s="42"/>
      <c r="T225" s="12">
        <f t="shared" si="127"/>
        <v>0</v>
      </c>
      <c r="U225" s="45"/>
      <c r="V225" s="12">
        <f t="shared" si="134"/>
        <v>0</v>
      </c>
      <c r="W225" s="12">
        <f t="shared" si="128"/>
        <v>0</v>
      </c>
      <c r="X225" s="12"/>
      <c r="Y225" s="12">
        <f t="shared" si="129"/>
        <v>0</v>
      </c>
      <c r="Z225" s="12"/>
      <c r="AA225" s="12">
        <f t="shared" si="130"/>
        <v>0</v>
      </c>
      <c r="AB225" s="12"/>
      <c r="AC225" s="12">
        <f t="shared" si="131"/>
        <v>0</v>
      </c>
      <c r="AD225" s="42"/>
      <c r="AE225" s="12"/>
    </row>
    <row r="226" spans="1:31" s="46" customFormat="1" ht="21">
      <c r="A226" s="42" t="s">
        <v>0</v>
      </c>
      <c r="B226" s="42" t="s">
        <v>1</v>
      </c>
      <c r="C226" s="45" t="s">
        <v>1392</v>
      </c>
      <c r="D226" s="51" t="s">
        <v>250</v>
      </c>
      <c r="E226" s="10" t="s">
        <v>909</v>
      </c>
      <c r="F226" s="47" t="s">
        <v>140</v>
      </c>
      <c r="G226" s="42"/>
      <c r="H226" s="42"/>
      <c r="I226" s="44">
        <v>48.4</v>
      </c>
      <c r="J226" s="44">
        <f t="shared" si="126"/>
        <v>48.4</v>
      </c>
      <c r="K226" s="42">
        <v>5000</v>
      </c>
      <c r="L226" s="42">
        <f t="shared" si="133"/>
        <v>242000</v>
      </c>
      <c r="M226" s="42"/>
      <c r="N226" s="42"/>
      <c r="O226" s="101"/>
      <c r="P226" s="45"/>
      <c r="Q226" s="42"/>
      <c r="R226" s="100"/>
      <c r="S226" s="42"/>
      <c r="T226" s="12">
        <f t="shared" si="127"/>
        <v>0</v>
      </c>
      <c r="U226" s="45"/>
      <c r="V226" s="12">
        <f t="shared" si="134"/>
        <v>0</v>
      </c>
      <c r="W226" s="12">
        <f t="shared" si="128"/>
        <v>0</v>
      </c>
      <c r="X226" s="116"/>
      <c r="Y226" s="117">
        <f t="shared" si="129"/>
        <v>242000</v>
      </c>
      <c r="Z226" s="12"/>
      <c r="AA226" s="12">
        <f t="shared" si="130"/>
        <v>242000</v>
      </c>
      <c r="AB226" s="12">
        <v>0.3</v>
      </c>
      <c r="AC226" s="12">
        <f t="shared" si="131"/>
        <v>726</v>
      </c>
      <c r="AD226" s="42"/>
      <c r="AE226" s="12"/>
    </row>
    <row r="227" spans="1:31" s="46" customFormat="1" ht="21">
      <c r="A227" s="42" t="s">
        <v>0</v>
      </c>
      <c r="B227" s="42" t="s">
        <v>1</v>
      </c>
      <c r="C227" s="45" t="s">
        <v>1393</v>
      </c>
      <c r="D227" s="51" t="s">
        <v>251</v>
      </c>
      <c r="E227" s="10" t="s">
        <v>909</v>
      </c>
      <c r="F227" s="47" t="s">
        <v>140</v>
      </c>
      <c r="G227" s="42"/>
      <c r="H227" s="42"/>
      <c r="I227" s="44">
        <v>43.2</v>
      </c>
      <c r="J227" s="44">
        <f t="shared" si="126"/>
        <v>43.2</v>
      </c>
      <c r="K227" s="42">
        <v>5000</v>
      </c>
      <c r="L227" s="42">
        <f t="shared" si="133"/>
        <v>216000</v>
      </c>
      <c r="M227" s="42"/>
      <c r="N227" s="42"/>
      <c r="O227" s="101"/>
      <c r="P227" s="45"/>
      <c r="Q227" s="42"/>
      <c r="R227" s="100"/>
      <c r="S227" s="42"/>
      <c r="T227" s="12">
        <f t="shared" si="127"/>
        <v>0</v>
      </c>
      <c r="U227" s="45"/>
      <c r="V227" s="12">
        <f t="shared" si="134"/>
        <v>0</v>
      </c>
      <c r="W227" s="12">
        <f t="shared" si="128"/>
        <v>0</v>
      </c>
      <c r="X227" s="116"/>
      <c r="Y227" s="117">
        <f t="shared" si="129"/>
        <v>216000</v>
      </c>
      <c r="Z227" s="12"/>
      <c r="AA227" s="12">
        <f t="shared" si="130"/>
        <v>216000</v>
      </c>
      <c r="AB227" s="12">
        <v>0.3</v>
      </c>
      <c r="AC227" s="12">
        <f t="shared" si="131"/>
        <v>648</v>
      </c>
      <c r="AD227" s="42"/>
      <c r="AE227" s="12"/>
    </row>
    <row r="228" spans="1:31" s="46" customFormat="1" ht="21">
      <c r="A228" s="42"/>
      <c r="B228" s="42"/>
      <c r="C228" s="45"/>
      <c r="D228" s="31"/>
      <c r="E228" s="31"/>
      <c r="F228" s="47"/>
      <c r="G228" s="42"/>
      <c r="H228" s="42"/>
      <c r="I228" s="44"/>
      <c r="J228" s="44">
        <f t="shared" si="126"/>
        <v>0</v>
      </c>
      <c r="K228" s="42"/>
      <c r="L228" s="42">
        <f t="shared" si="133"/>
        <v>0</v>
      </c>
      <c r="M228" s="42"/>
      <c r="N228" s="42"/>
      <c r="O228" s="101"/>
      <c r="P228" s="45"/>
      <c r="Q228" s="42"/>
      <c r="R228" s="42"/>
      <c r="S228" s="42"/>
      <c r="T228" s="12">
        <f t="shared" si="127"/>
        <v>0</v>
      </c>
      <c r="U228" s="45"/>
      <c r="V228" s="12">
        <f t="shared" si="134"/>
        <v>0</v>
      </c>
      <c r="W228" s="12">
        <f t="shared" si="128"/>
        <v>0</v>
      </c>
      <c r="X228" s="12"/>
      <c r="Y228" s="12">
        <f t="shared" si="129"/>
        <v>0</v>
      </c>
      <c r="Z228" s="12"/>
      <c r="AA228" s="12">
        <f t="shared" si="130"/>
        <v>0</v>
      </c>
      <c r="AB228" s="12"/>
      <c r="AC228" s="12">
        <f t="shared" si="131"/>
        <v>0</v>
      </c>
      <c r="AD228" s="42"/>
      <c r="AE228" s="12"/>
    </row>
    <row r="229" spans="1:31" s="46" customFormat="1" ht="21">
      <c r="A229" s="42"/>
      <c r="B229" s="42"/>
      <c r="C229" s="45"/>
      <c r="D229" s="31"/>
      <c r="E229" s="31"/>
      <c r="F229" s="47"/>
      <c r="G229" s="42"/>
      <c r="H229" s="42"/>
      <c r="I229" s="44"/>
      <c r="J229" s="44">
        <f t="shared" si="126"/>
        <v>0</v>
      </c>
      <c r="K229" s="42"/>
      <c r="L229" s="42">
        <f t="shared" si="133"/>
        <v>0</v>
      </c>
      <c r="M229" s="42"/>
      <c r="N229" s="42"/>
      <c r="O229" s="101"/>
      <c r="P229" s="45"/>
      <c r="Q229" s="42"/>
      <c r="R229" s="42"/>
      <c r="S229" s="42"/>
      <c r="T229" s="12">
        <f t="shared" si="127"/>
        <v>0</v>
      </c>
      <c r="U229" s="45"/>
      <c r="V229" s="12">
        <f t="shared" si="134"/>
        <v>0</v>
      </c>
      <c r="W229" s="12">
        <f t="shared" si="128"/>
        <v>0</v>
      </c>
      <c r="X229" s="12"/>
      <c r="Y229" s="12">
        <f t="shared" si="129"/>
        <v>0</v>
      </c>
      <c r="Z229" s="12"/>
      <c r="AA229" s="12">
        <f t="shared" si="130"/>
        <v>0</v>
      </c>
      <c r="AB229" s="12"/>
      <c r="AC229" s="12">
        <f t="shared" si="131"/>
        <v>0</v>
      </c>
      <c r="AD229" s="42"/>
      <c r="AE229" s="12"/>
    </row>
    <row r="230" spans="1:31" s="46" customFormat="1" ht="21">
      <c r="A230" s="42" t="s">
        <v>0</v>
      </c>
      <c r="B230" s="42" t="s">
        <v>1</v>
      </c>
      <c r="C230" s="45" t="s">
        <v>1394</v>
      </c>
      <c r="D230" s="51" t="s">
        <v>252</v>
      </c>
      <c r="E230" s="10" t="s">
        <v>909</v>
      </c>
      <c r="F230" s="47" t="s">
        <v>140</v>
      </c>
      <c r="G230" s="42"/>
      <c r="H230" s="42"/>
      <c r="I230" s="44">
        <v>44.8</v>
      </c>
      <c r="J230" s="44">
        <f t="shared" si="126"/>
        <v>44.8</v>
      </c>
      <c r="K230" s="42">
        <v>10000</v>
      </c>
      <c r="L230" s="42">
        <f t="shared" si="133"/>
        <v>448000</v>
      </c>
      <c r="M230" s="42"/>
      <c r="N230" s="50"/>
      <c r="O230" s="101"/>
      <c r="P230" s="45"/>
      <c r="Q230" s="42"/>
      <c r="R230" s="100"/>
      <c r="S230" s="42"/>
      <c r="T230" s="12">
        <f t="shared" si="127"/>
        <v>0</v>
      </c>
      <c r="U230" s="45"/>
      <c r="V230" s="12">
        <f t="shared" si="134"/>
        <v>0</v>
      </c>
      <c r="W230" s="12">
        <f t="shared" si="128"/>
        <v>0</v>
      </c>
      <c r="X230" s="116"/>
      <c r="Y230" s="117">
        <f t="shared" si="129"/>
        <v>448000</v>
      </c>
      <c r="Z230" s="12"/>
      <c r="AA230" s="12">
        <f t="shared" si="130"/>
        <v>448000</v>
      </c>
      <c r="AB230" s="12">
        <v>0.3</v>
      </c>
      <c r="AC230" s="12">
        <f t="shared" si="131"/>
        <v>1344</v>
      </c>
      <c r="AD230" s="42"/>
      <c r="AE230" s="12"/>
    </row>
    <row r="231" spans="1:31" s="46" customFormat="1" ht="21">
      <c r="A231" s="42" t="s">
        <v>0</v>
      </c>
      <c r="B231" s="42" t="s">
        <v>1</v>
      </c>
      <c r="C231" s="45" t="s">
        <v>1395</v>
      </c>
      <c r="D231" s="51" t="s">
        <v>253</v>
      </c>
      <c r="E231" s="29" t="s">
        <v>907</v>
      </c>
      <c r="F231" s="47" t="s">
        <v>137</v>
      </c>
      <c r="G231" s="42"/>
      <c r="H231" s="42"/>
      <c r="I231" s="44">
        <v>65.9</v>
      </c>
      <c r="J231" s="44">
        <f t="shared" si="126"/>
        <v>65.9</v>
      </c>
      <c r="K231" s="42">
        <v>12000</v>
      </c>
      <c r="L231" s="42">
        <f t="shared" si="133"/>
        <v>790800.0000000001</v>
      </c>
      <c r="M231" s="42"/>
      <c r="N231" s="42" t="s">
        <v>62</v>
      </c>
      <c r="O231" s="101" t="s">
        <v>446</v>
      </c>
      <c r="P231" s="45">
        <v>2</v>
      </c>
      <c r="Q231" s="100">
        <v>140</v>
      </c>
      <c r="R231" s="100"/>
      <c r="S231" s="42">
        <v>6750</v>
      </c>
      <c r="T231" s="12">
        <f t="shared" si="127"/>
        <v>945000</v>
      </c>
      <c r="U231" s="102" t="s">
        <v>89</v>
      </c>
      <c r="V231" s="12">
        <f>+T231*0.34</f>
        <v>321300</v>
      </c>
      <c r="W231" s="12">
        <f t="shared" si="128"/>
        <v>623700</v>
      </c>
      <c r="X231" s="116"/>
      <c r="Y231" s="117">
        <f t="shared" si="129"/>
        <v>1414500</v>
      </c>
      <c r="Z231" s="12">
        <f>+Y231</f>
        <v>1414500</v>
      </c>
      <c r="AA231" s="12">
        <f t="shared" si="130"/>
        <v>0</v>
      </c>
      <c r="AB231" s="12"/>
      <c r="AC231" s="12">
        <f t="shared" si="131"/>
        <v>0</v>
      </c>
      <c r="AD231" s="42" t="s">
        <v>906</v>
      </c>
      <c r="AE231" s="12"/>
    </row>
    <row r="232" spans="1:31" s="46" customFormat="1" ht="21">
      <c r="A232" s="42"/>
      <c r="B232" s="42"/>
      <c r="C232" s="45"/>
      <c r="D232" s="31"/>
      <c r="E232" s="31"/>
      <c r="F232" s="47"/>
      <c r="G232" s="42"/>
      <c r="H232" s="42"/>
      <c r="I232" s="44"/>
      <c r="J232" s="44">
        <f t="shared" si="126"/>
        <v>0</v>
      </c>
      <c r="K232" s="42"/>
      <c r="L232" s="42">
        <f t="shared" si="133"/>
        <v>0</v>
      </c>
      <c r="M232" s="42"/>
      <c r="N232" s="42"/>
      <c r="O232" s="101"/>
      <c r="P232" s="45"/>
      <c r="Q232" s="42"/>
      <c r="R232" s="42"/>
      <c r="S232" s="42"/>
      <c r="T232" s="12">
        <f t="shared" si="127"/>
        <v>0</v>
      </c>
      <c r="U232" s="45"/>
      <c r="V232" s="12">
        <f>+T232*0</f>
        <v>0</v>
      </c>
      <c r="W232" s="12">
        <f t="shared" si="128"/>
        <v>0</v>
      </c>
      <c r="X232" s="12"/>
      <c r="Y232" s="12">
        <f t="shared" si="129"/>
        <v>0</v>
      </c>
      <c r="Z232" s="12"/>
      <c r="AA232" s="12">
        <f t="shared" si="130"/>
        <v>0</v>
      </c>
      <c r="AB232" s="12"/>
      <c r="AC232" s="12">
        <f t="shared" si="131"/>
        <v>0</v>
      </c>
      <c r="AD232" s="42"/>
      <c r="AE232" s="12"/>
    </row>
    <row r="233" spans="1:31" s="46" customFormat="1" ht="21">
      <c r="A233" s="42" t="s">
        <v>0</v>
      </c>
      <c r="B233" s="42" t="s">
        <v>1</v>
      </c>
      <c r="C233" s="45" t="s">
        <v>1400</v>
      </c>
      <c r="D233" s="45" t="s">
        <v>254</v>
      </c>
      <c r="E233" s="10" t="s">
        <v>909</v>
      </c>
      <c r="F233" s="47" t="s">
        <v>137</v>
      </c>
      <c r="G233" s="42">
        <v>1</v>
      </c>
      <c r="H233" s="42">
        <v>1</v>
      </c>
      <c r="I233" s="44">
        <v>9.5</v>
      </c>
      <c r="J233" s="44">
        <f t="shared" si="126"/>
        <v>509.5</v>
      </c>
      <c r="K233" s="42">
        <v>7500</v>
      </c>
      <c r="L233" s="42">
        <f aca="true" t="shared" si="135" ref="L233:L249">+K233*J233</f>
        <v>3821250</v>
      </c>
      <c r="M233" s="42">
        <v>1</v>
      </c>
      <c r="N233" s="42" t="s">
        <v>60</v>
      </c>
      <c r="O233" s="101" t="s">
        <v>446</v>
      </c>
      <c r="P233" s="45">
        <v>2</v>
      </c>
      <c r="Q233" s="100">
        <v>148.5</v>
      </c>
      <c r="R233" s="100">
        <f>+Q233*100/(Q233+Q234)</f>
        <v>50</v>
      </c>
      <c r="S233" s="42">
        <v>7550</v>
      </c>
      <c r="T233" s="12">
        <f t="shared" si="127"/>
        <v>1121175</v>
      </c>
      <c r="U233" s="102" t="s">
        <v>92</v>
      </c>
      <c r="V233" s="12">
        <f>+T233*0.42</f>
        <v>470893.5</v>
      </c>
      <c r="W233" s="12">
        <f t="shared" si="128"/>
        <v>650281.5</v>
      </c>
      <c r="X233" s="116"/>
      <c r="Y233" s="117">
        <f>+L233*(R233/100)+W233</f>
        <v>2560906.5</v>
      </c>
      <c r="Z233" s="12"/>
      <c r="AA233" s="12">
        <f t="shared" si="130"/>
        <v>2560906.5</v>
      </c>
      <c r="AB233" s="12">
        <v>0.02</v>
      </c>
      <c r="AC233" s="12">
        <f t="shared" si="131"/>
        <v>512.1813000000001</v>
      </c>
      <c r="AD233" s="42"/>
      <c r="AE233" s="12"/>
    </row>
    <row r="234" spans="1:31" s="46" customFormat="1" ht="21">
      <c r="A234" s="42" t="s">
        <v>0</v>
      </c>
      <c r="B234" s="42"/>
      <c r="C234" s="45"/>
      <c r="D234" s="45"/>
      <c r="E234" s="31"/>
      <c r="F234" s="47"/>
      <c r="G234" s="42"/>
      <c r="H234" s="42"/>
      <c r="I234" s="44"/>
      <c r="J234" s="44">
        <f t="shared" si="126"/>
        <v>0</v>
      </c>
      <c r="K234" s="42"/>
      <c r="L234" s="42">
        <f t="shared" si="135"/>
        <v>0</v>
      </c>
      <c r="M234" s="42">
        <v>2</v>
      </c>
      <c r="N234" s="42" t="s">
        <v>60</v>
      </c>
      <c r="O234" s="101" t="s">
        <v>446</v>
      </c>
      <c r="P234" s="45">
        <v>2</v>
      </c>
      <c r="Q234" s="100">
        <v>148.5</v>
      </c>
      <c r="R234" s="100">
        <f>+Q234*100/(Q233+Q234)</f>
        <v>50</v>
      </c>
      <c r="S234" s="42">
        <v>7550</v>
      </c>
      <c r="T234" s="12">
        <f t="shared" si="127"/>
        <v>1121175</v>
      </c>
      <c r="U234" s="102" t="s">
        <v>92</v>
      </c>
      <c r="V234" s="12">
        <f>+T234*0.42</f>
        <v>470893.5</v>
      </c>
      <c r="W234" s="12">
        <f t="shared" si="128"/>
        <v>650281.5</v>
      </c>
      <c r="X234" s="116"/>
      <c r="Y234" s="117">
        <f>+L233*(R234/100)+W234</f>
        <v>2560906.5</v>
      </c>
      <c r="Z234" s="12">
        <f>+Y234</f>
        <v>2560906.5</v>
      </c>
      <c r="AA234" s="12">
        <f t="shared" si="130"/>
        <v>0</v>
      </c>
      <c r="AB234" s="12"/>
      <c r="AC234" s="12">
        <f t="shared" si="131"/>
        <v>0</v>
      </c>
      <c r="AD234" s="42" t="s">
        <v>906</v>
      </c>
      <c r="AE234" s="12"/>
    </row>
    <row r="235" spans="1:31" s="46" customFormat="1" ht="21">
      <c r="A235" s="42"/>
      <c r="B235" s="42"/>
      <c r="C235" s="45"/>
      <c r="D235" s="31"/>
      <c r="E235" s="31"/>
      <c r="F235" s="47"/>
      <c r="G235" s="42"/>
      <c r="H235" s="42"/>
      <c r="I235" s="44"/>
      <c r="J235" s="44">
        <f t="shared" si="126"/>
        <v>0</v>
      </c>
      <c r="K235" s="42"/>
      <c r="L235" s="42">
        <f t="shared" si="135"/>
        <v>0</v>
      </c>
      <c r="M235" s="42"/>
      <c r="N235" s="42"/>
      <c r="O235" s="101"/>
      <c r="P235" s="45"/>
      <c r="Q235" s="42"/>
      <c r="R235" s="42"/>
      <c r="S235" s="42"/>
      <c r="T235" s="12">
        <f t="shared" si="127"/>
        <v>0</v>
      </c>
      <c r="U235" s="45"/>
      <c r="V235" s="12">
        <f aca="true" t="shared" si="136" ref="V235:V240">+T235*0</f>
        <v>0</v>
      </c>
      <c r="W235" s="12">
        <f t="shared" si="128"/>
        <v>0</v>
      </c>
      <c r="X235" s="12"/>
      <c r="Y235" s="12">
        <f aca="true" t="shared" si="137" ref="Y235:Y247">+L235+W235</f>
        <v>0</v>
      </c>
      <c r="Z235" s="12"/>
      <c r="AA235" s="12">
        <f t="shared" si="130"/>
        <v>0</v>
      </c>
      <c r="AB235" s="12"/>
      <c r="AC235" s="12">
        <f t="shared" si="131"/>
        <v>0</v>
      </c>
      <c r="AD235" s="42"/>
      <c r="AE235" s="12"/>
    </row>
    <row r="236" spans="1:31" s="46" customFormat="1" ht="21">
      <c r="A236" s="42"/>
      <c r="B236" s="42"/>
      <c r="C236" s="45"/>
      <c r="D236" s="31"/>
      <c r="E236" s="31"/>
      <c r="F236" s="47"/>
      <c r="G236" s="42"/>
      <c r="H236" s="42"/>
      <c r="I236" s="44"/>
      <c r="J236" s="44">
        <f t="shared" si="126"/>
        <v>0</v>
      </c>
      <c r="K236" s="42"/>
      <c r="L236" s="42">
        <f t="shared" si="135"/>
        <v>0</v>
      </c>
      <c r="M236" s="42"/>
      <c r="N236" s="42"/>
      <c r="O236" s="101"/>
      <c r="P236" s="45"/>
      <c r="Q236" s="42"/>
      <c r="R236" s="42"/>
      <c r="S236" s="42"/>
      <c r="T236" s="12">
        <f t="shared" si="127"/>
        <v>0</v>
      </c>
      <c r="U236" s="45"/>
      <c r="V236" s="12">
        <f t="shared" si="136"/>
        <v>0</v>
      </c>
      <c r="W236" s="12">
        <f t="shared" si="128"/>
        <v>0</v>
      </c>
      <c r="X236" s="12"/>
      <c r="Y236" s="12">
        <f t="shared" si="137"/>
        <v>0</v>
      </c>
      <c r="Z236" s="12"/>
      <c r="AA236" s="12">
        <f t="shared" si="130"/>
        <v>0</v>
      </c>
      <c r="AB236" s="12"/>
      <c r="AC236" s="12">
        <f t="shared" si="131"/>
        <v>0</v>
      </c>
      <c r="AD236" s="42"/>
      <c r="AE236" s="12"/>
    </row>
    <row r="237" spans="1:31" s="46" customFormat="1" ht="21">
      <c r="A237" s="42" t="s">
        <v>0</v>
      </c>
      <c r="B237" s="42" t="s">
        <v>1</v>
      </c>
      <c r="C237" s="45" t="s">
        <v>1401</v>
      </c>
      <c r="D237" s="45" t="s">
        <v>255</v>
      </c>
      <c r="E237" s="10" t="s">
        <v>909</v>
      </c>
      <c r="F237" s="47" t="s">
        <v>140</v>
      </c>
      <c r="G237" s="42"/>
      <c r="H237" s="42"/>
      <c r="I237" s="44">
        <v>51.1</v>
      </c>
      <c r="J237" s="44">
        <f t="shared" si="126"/>
        <v>51.1</v>
      </c>
      <c r="K237" s="42">
        <v>10000</v>
      </c>
      <c r="L237" s="42">
        <f t="shared" si="135"/>
        <v>511000</v>
      </c>
      <c r="M237" s="42"/>
      <c r="N237" s="42"/>
      <c r="O237" s="101"/>
      <c r="P237" s="45"/>
      <c r="Q237" s="42"/>
      <c r="R237" s="100"/>
      <c r="S237" s="42"/>
      <c r="T237" s="12">
        <f t="shared" si="127"/>
        <v>0</v>
      </c>
      <c r="U237" s="45"/>
      <c r="V237" s="12">
        <f t="shared" si="136"/>
        <v>0</v>
      </c>
      <c r="W237" s="12">
        <f t="shared" si="128"/>
        <v>0</v>
      </c>
      <c r="X237" s="116"/>
      <c r="Y237" s="117">
        <f t="shared" si="137"/>
        <v>511000</v>
      </c>
      <c r="Z237" s="12"/>
      <c r="AA237" s="12">
        <f t="shared" si="130"/>
        <v>511000</v>
      </c>
      <c r="AB237" s="12">
        <v>0.3</v>
      </c>
      <c r="AC237" s="12">
        <f t="shared" si="131"/>
        <v>1533</v>
      </c>
      <c r="AD237" s="42"/>
      <c r="AE237" s="12"/>
    </row>
    <row r="238" spans="1:31" s="46" customFormat="1" ht="21">
      <c r="A238" s="42" t="s">
        <v>0</v>
      </c>
      <c r="B238" s="42" t="s">
        <v>1</v>
      </c>
      <c r="C238" s="45" t="s">
        <v>1402</v>
      </c>
      <c r="D238" s="45" t="s">
        <v>256</v>
      </c>
      <c r="E238" s="29" t="s">
        <v>907</v>
      </c>
      <c r="F238" s="47" t="s">
        <v>140</v>
      </c>
      <c r="G238" s="42"/>
      <c r="H238" s="42"/>
      <c r="I238" s="44">
        <v>75.4</v>
      </c>
      <c r="J238" s="44">
        <f aca="true" t="shared" si="138" ref="J238:J269">+I238+(H238*100)+(G238*400)</f>
        <v>75.4</v>
      </c>
      <c r="K238" s="42">
        <v>10000</v>
      </c>
      <c r="L238" s="42">
        <f t="shared" si="135"/>
        <v>754000</v>
      </c>
      <c r="M238" s="42"/>
      <c r="N238" s="42"/>
      <c r="O238" s="101"/>
      <c r="P238" s="45"/>
      <c r="Q238" s="42"/>
      <c r="R238" s="100"/>
      <c r="S238" s="42"/>
      <c r="T238" s="12">
        <f aca="true" t="shared" si="139" ref="T238:T269">+Q238*S238</f>
        <v>0</v>
      </c>
      <c r="U238" s="45"/>
      <c r="V238" s="12">
        <f t="shared" si="136"/>
        <v>0</v>
      </c>
      <c r="W238" s="12">
        <f aca="true" t="shared" si="140" ref="W238:W269">+T238-V238</f>
        <v>0</v>
      </c>
      <c r="X238" s="116"/>
      <c r="Y238" s="117">
        <f t="shared" si="137"/>
        <v>754000</v>
      </c>
      <c r="Z238" s="12"/>
      <c r="AA238" s="12">
        <f aca="true" t="shared" si="141" ref="AA238:AA269">+Y238-Z238</f>
        <v>754000</v>
      </c>
      <c r="AB238" s="12">
        <v>0.3</v>
      </c>
      <c r="AC238" s="12">
        <f aca="true" t="shared" si="142" ref="AC238:AC269">+AA238*AB238/100</f>
        <v>2262</v>
      </c>
      <c r="AD238" s="42"/>
      <c r="AE238" s="12"/>
    </row>
    <row r="239" spans="1:31" s="46" customFormat="1" ht="21">
      <c r="A239" s="42"/>
      <c r="B239" s="42"/>
      <c r="C239" s="45"/>
      <c r="D239" s="31"/>
      <c r="E239" s="31"/>
      <c r="F239" s="47"/>
      <c r="G239" s="42"/>
      <c r="H239" s="42"/>
      <c r="I239" s="44"/>
      <c r="J239" s="44">
        <f t="shared" si="138"/>
        <v>0</v>
      </c>
      <c r="K239" s="42"/>
      <c r="L239" s="42">
        <f t="shared" si="135"/>
        <v>0</v>
      </c>
      <c r="M239" s="42"/>
      <c r="N239" s="42"/>
      <c r="O239" s="101"/>
      <c r="P239" s="45"/>
      <c r="Q239" s="42"/>
      <c r="R239" s="42"/>
      <c r="S239" s="42"/>
      <c r="T239" s="12">
        <f t="shared" si="139"/>
        <v>0</v>
      </c>
      <c r="U239" s="45"/>
      <c r="V239" s="12">
        <f t="shared" si="136"/>
        <v>0</v>
      </c>
      <c r="W239" s="12">
        <f t="shared" si="140"/>
        <v>0</v>
      </c>
      <c r="X239" s="12"/>
      <c r="Y239" s="12">
        <f t="shared" si="137"/>
        <v>0</v>
      </c>
      <c r="Z239" s="12"/>
      <c r="AA239" s="12">
        <f t="shared" si="141"/>
        <v>0</v>
      </c>
      <c r="AB239" s="12"/>
      <c r="AC239" s="12">
        <f t="shared" si="142"/>
        <v>0</v>
      </c>
      <c r="AD239" s="42"/>
      <c r="AE239" s="12"/>
    </row>
    <row r="240" spans="1:31" s="46" customFormat="1" ht="21">
      <c r="A240" s="42"/>
      <c r="B240" s="42"/>
      <c r="C240" s="45"/>
      <c r="D240" s="31"/>
      <c r="E240" s="31"/>
      <c r="F240" s="47"/>
      <c r="G240" s="42"/>
      <c r="H240" s="42"/>
      <c r="I240" s="44"/>
      <c r="J240" s="44">
        <f t="shared" si="138"/>
        <v>0</v>
      </c>
      <c r="K240" s="42"/>
      <c r="L240" s="42">
        <f t="shared" si="135"/>
        <v>0</v>
      </c>
      <c r="M240" s="42"/>
      <c r="N240" s="42"/>
      <c r="O240" s="101"/>
      <c r="P240" s="45"/>
      <c r="Q240" s="42"/>
      <c r="R240" s="42"/>
      <c r="S240" s="42"/>
      <c r="T240" s="12">
        <f t="shared" si="139"/>
        <v>0</v>
      </c>
      <c r="U240" s="45"/>
      <c r="V240" s="12">
        <f t="shared" si="136"/>
        <v>0</v>
      </c>
      <c r="W240" s="12">
        <f t="shared" si="140"/>
        <v>0</v>
      </c>
      <c r="X240" s="12"/>
      <c r="Y240" s="12">
        <f t="shared" si="137"/>
        <v>0</v>
      </c>
      <c r="Z240" s="12"/>
      <c r="AA240" s="12">
        <f t="shared" si="141"/>
        <v>0</v>
      </c>
      <c r="AB240" s="12"/>
      <c r="AC240" s="12">
        <f t="shared" si="142"/>
        <v>0</v>
      </c>
      <c r="AD240" s="42"/>
      <c r="AE240" s="12"/>
    </row>
    <row r="241" spans="1:31" s="46" customFormat="1" ht="21">
      <c r="A241" s="42" t="s">
        <v>0</v>
      </c>
      <c r="B241" s="42" t="s">
        <v>1</v>
      </c>
      <c r="C241" s="45" t="s">
        <v>1403</v>
      </c>
      <c r="D241" s="51" t="s">
        <v>257</v>
      </c>
      <c r="E241" s="10" t="s">
        <v>909</v>
      </c>
      <c r="F241" s="47" t="s">
        <v>137</v>
      </c>
      <c r="G241" s="42"/>
      <c r="H241" s="42"/>
      <c r="I241" s="44">
        <v>46.8</v>
      </c>
      <c r="J241" s="44">
        <f t="shared" si="138"/>
        <v>46.8</v>
      </c>
      <c r="K241" s="42">
        <v>12000</v>
      </c>
      <c r="L241" s="42">
        <f t="shared" si="135"/>
        <v>561600</v>
      </c>
      <c r="M241" s="42"/>
      <c r="N241" s="42" t="s">
        <v>64</v>
      </c>
      <c r="O241" s="101" t="s">
        <v>446</v>
      </c>
      <c r="P241" s="45">
        <v>2</v>
      </c>
      <c r="Q241" s="100">
        <v>451.5</v>
      </c>
      <c r="R241" s="100"/>
      <c r="S241" s="42">
        <v>6550</v>
      </c>
      <c r="T241" s="12">
        <f t="shared" si="139"/>
        <v>2957325</v>
      </c>
      <c r="U241" s="102" t="s">
        <v>91</v>
      </c>
      <c r="V241" s="12">
        <f>+T241*0.4</f>
        <v>1182930</v>
      </c>
      <c r="W241" s="12">
        <f t="shared" si="140"/>
        <v>1774395</v>
      </c>
      <c r="X241" s="116"/>
      <c r="Y241" s="117">
        <f t="shared" si="137"/>
        <v>2335995</v>
      </c>
      <c r="Z241" s="12">
        <f>+Y241</f>
        <v>2335995</v>
      </c>
      <c r="AA241" s="12">
        <f t="shared" si="141"/>
        <v>0</v>
      </c>
      <c r="AB241" s="12"/>
      <c r="AC241" s="12">
        <f t="shared" si="142"/>
        <v>0</v>
      </c>
      <c r="AD241" s="42" t="s">
        <v>906</v>
      </c>
      <c r="AE241" s="12"/>
    </row>
    <row r="242" spans="1:31" s="46" customFormat="1" ht="21">
      <c r="A242" s="42" t="s">
        <v>0</v>
      </c>
      <c r="B242" s="42" t="s">
        <v>1</v>
      </c>
      <c r="C242" s="45" t="s">
        <v>70</v>
      </c>
      <c r="D242" s="51" t="s">
        <v>258</v>
      </c>
      <c r="E242" s="10" t="s">
        <v>909</v>
      </c>
      <c r="F242" s="47" t="s">
        <v>140</v>
      </c>
      <c r="G242" s="42"/>
      <c r="H242" s="42"/>
      <c r="I242" s="44">
        <v>24.3</v>
      </c>
      <c r="J242" s="44">
        <f t="shared" si="138"/>
        <v>24.3</v>
      </c>
      <c r="K242" s="42">
        <v>12000</v>
      </c>
      <c r="L242" s="42">
        <f t="shared" si="135"/>
        <v>291600</v>
      </c>
      <c r="M242" s="42"/>
      <c r="N242" s="42"/>
      <c r="O242" s="101"/>
      <c r="P242" s="45"/>
      <c r="Q242" s="42"/>
      <c r="R242" s="100"/>
      <c r="S242" s="42"/>
      <c r="T242" s="12">
        <f t="shared" si="139"/>
        <v>0</v>
      </c>
      <c r="U242" s="45"/>
      <c r="V242" s="12">
        <f>+T242*0</f>
        <v>0</v>
      </c>
      <c r="W242" s="12">
        <f t="shared" si="140"/>
        <v>0</v>
      </c>
      <c r="X242" s="116"/>
      <c r="Y242" s="117">
        <f t="shared" si="137"/>
        <v>291600</v>
      </c>
      <c r="Z242" s="12"/>
      <c r="AA242" s="12">
        <f t="shared" si="141"/>
        <v>291600</v>
      </c>
      <c r="AB242" s="12">
        <v>0.3</v>
      </c>
      <c r="AC242" s="12">
        <f t="shared" si="142"/>
        <v>874.8</v>
      </c>
      <c r="AD242" s="42"/>
      <c r="AE242" s="12"/>
    </row>
    <row r="243" spans="1:31" s="46" customFormat="1" ht="21">
      <c r="A243" s="42" t="s">
        <v>0</v>
      </c>
      <c r="B243" s="42" t="s">
        <v>1</v>
      </c>
      <c r="C243" s="45" t="s">
        <v>1404</v>
      </c>
      <c r="D243" s="51" t="s">
        <v>259</v>
      </c>
      <c r="E243" s="10" t="s">
        <v>909</v>
      </c>
      <c r="F243" s="47" t="s">
        <v>140</v>
      </c>
      <c r="G243" s="42"/>
      <c r="H243" s="42"/>
      <c r="I243" s="44">
        <v>72</v>
      </c>
      <c r="J243" s="44">
        <f t="shared" si="138"/>
        <v>72</v>
      </c>
      <c r="K243" s="42">
        <v>12000</v>
      </c>
      <c r="L243" s="42">
        <f t="shared" si="135"/>
        <v>864000</v>
      </c>
      <c r="M243" s="42"/>
      <c r="N243" s="42"/>
      <c r="O243" s="101"/>
      <c r="P243" s="45"/>
      <c r="Q243" s="42"/>
      <c r="R243" s="100"/>
      <c r="S243" s="42"/>
      <c r="T243" s="12">
        <f t="shared" si="139"/>
        <v>0</v>
      </c>
      <c r="U243" s="45"/>
      <c r="V243" s="12">
        <f>+T243*0</f>
        <v>0</v>
      </c>
      <c r="W243" s="12">
        <f t="shared" si="140"/>
        <v>0</v>
      </c>
      <c r="X243" s="116"/>
      <c r="Y243" s="117">
        <f t="shared" si="137"/>
        <v>864000</v>
      </c>
      <c r="Z243" s="12"/>
      <c r="AA243" s="12">
        <f t="shared" si="141"/>
        <v>864000</v>
      </c>
      <c r="AB243" s="12">
        <v>0.3</v>
      </c>
      <c r="AC243" s="12">
        <f t="shared" si="142"/>
        <v>2592</v>
      </c>
      <c r="AD243" s="42"/>
      <c r="AE243" s="12"/>
    </row>
    <row r="244" spans="1:31" s="46" customFormat="1" ht="21">
      <c r="A244" s="42"/>
      <c r="B244" s="42"/>
      <c r="C244" s="45"/>
      <c r="D244" s="31"/>
      <c r="E244" s="31"/>
      <c r="F244" s="47"/>
      <c r="G244" s="42"/>
      <c r="H244" s="42"/>
      <c r="I244" s="44"/>
      <c r="J244" s="44">
        <f t="shared" si="138"/>
        <v>0</v>
      </c>
      <c r="K244" s="42"/>
      <c r="L244" s="42">
        <f t="shared" si="135"/>
        <v>0</v>
      </c>
      <c r="M244" s="42"/>
      <c r="N244" s="42"/>
      <c r="O244" s="101"/>
      <c r="P244" s="45"/>
      <c r="Q244" s="42"/>
      <c r="R244" s="42"/>
      <c r="S244" s="42"/>
      <c r="T244" s="12">
        <f t="shared" si="139"/>
        <v>0</v>
      </c>
      <c r="U244" s="45"/>
      <c r="V244" s="12">
        <f>+T244*0</f>
        <v>0</v>
      </c>
      <c r="W244" s="12">
        <f t="shared" si="140"/>
        <v>0</v>
      </c>
      <c r="X244" s="12"/>
      <c r="Y244" s="12">
        <f t="shared" si="137"/>
        <v>0</v>
      </c>
      <c r="Z244" s="12"/>
      <c r="AA244" s="12">
        <f t="shared" si="141"/>
        <v>0</v>
      </c>
      <c r="AB244" s="12"/>
      <c r="AC244" s="12">
        <f t="shared" si="142"/>
        <v>0</v>
      </c>
      <c r="AD244" s="42"/>
      <c r="AE244" s="12"/>
    </row>
    <row r="245" spans="1:31" s="46" customFormat="1" ht="21">
      <c r="A245" s="42" t="s">
        <v>0</v>
      </c>
      <c r="B245" s="42" t="s">
        <v>1</v>
      </c>
      <c r="C245" s="45" t="s">
        <v>1405</v>
      </c>
      <c r="D245" s="45" t="s">
        <v>260</v>
      </c>
      <c r="E245" s="10" t="s">
        <v>909</v>
      </c>
      <c r="F245" s="47" t="s">
        <v>137</v>
      </c>
      <c r="G245" s="42"/>
      <c r="H245" s="42"/>
      <c r="I245" s="44">
        <v>86</v>
      </c>
      <c r="J245" s="44">
        <f t="shared" si="138"/>
        <v>86</v>
      </c>
      <c r="K245" s="42">
        <v>17000</v>
      </c>
      <c r="L245" s="42">
        <f t="shared" si="135"/>
        <v>1462000</v>
      </c>
      <c r="M245" s="42"/>
      <c r="N245" s="42" t="s">
        <v>64</v>
      </c>
      <c r="O245" s="101" t="s">
        <v>446</v>
      </c>
      <c r="P245" s="45">
        <v>2</v>
      </c>
      <c r="Q245" s="100">
        <v>140</v>
      </c>
      <c r="R245" s="100"/>
      <c r="S245" s="42">
        <v>6550</v>
      </c>
      <c r="T245" s="12">
        <f t="shared" si="139"/>
        <v>917000</v>
      </c>
      <c r="U245" s="45" t="s">
        <v>264</v>
      </c>
      <c r="V245" s="12">
        <f>+T245*0.09</f>
        <v>82530</v>
      </c>
      <c r="W245" s="12">
        <f t="shared" si="140"/>
        <v>834470</v>
      </c>
      <c r="X245" s="116"/>
      <c r="Y245" s="117">
        <f t="shared" si="137"/>
        <v>2296470</v>
      </c>
      <c r="Z245" s="12">
        <f>+Y245</f>
        <v>2296470</v>
      </c>
      <c r="AA245" s="12">
        <f t="shared" si="141"/>
        <v>0</v>
      </c>
      <c r="AB245" s="12"/>
      <c r="AC245" s="12">
        <f t="shared" si="142"/>
        <v>0</v>
      </c>
      <c r="AD245" s="42" t="s">
        <v>906</v>
      </c>
      <c r="AE245" s="12"/>
    </row>
    <row r="246" spans="1:31" s="46" customFormat="1" ht="21">
      <c r="A246" s="42" t="s">
        <v>0</v>
      </c>
      <c r="B246" s="42" t="s">
        <v>1</v>
      </c>
      <c r="C246" s="45" t="s">
        <v>1406</v>
      </c>
      <c r="D246" s="51" t="s">
        <v>261</v>
      </c>
      <c r="E246" s="10" t="s">
        <v>909</v>
      </c>
      <c r="F246" s="47" t="s">
        <v>137</v>
      </c>
      <c r="G246" s="42"/>
      <c r="H246" s="42"/>
      <c r="I246" s="44">
        <v>29.8</v>
      </c>
      <c r="J246" s="44">
        <f t="shared" si="138"/>
        <v>29.8</v>
      </c>
      <c r="K246" s="42">
        <v>4000</v>
      </c>
      <c r="L246" s="42">
        <f t="shared" si="135"/>
        <v>119200</v>
      </c>
      <c r="M246" s="42"/>
      <c r="N246" s="42" t="s">
        <v>62</v>
      </c>
      <c r="O246" s="101" t="s">
        <v>446</v>
      </c>
      <c r="P246" s="45">
        <v>2</v>
      </c>
      <c r="Q246" s="100">
        <v>700</v>
      </c>
      <c r="R246" s="100"/>
      <c r="S246" s="42">
        <v>6750</v>
      </c>
      <c r="T246" s="12">
        <f t="shared" si="139"/>
        <v>4725000</v>
      </c>
      <c r="U246" s="45" t="s">
        <v>73</v>
      </c>
      <c r="V246" s="12">
        <f>+T246*0.05</f>
        <v>236250</v>
      </c>
      <c r="W246" s="12">
        <f t="shared" si="140"/>
        <v>4488750</v>
      </c>
      <c r="X246" s="116"/>
      <c r="Y246" s="117">
        <f t="shared" si="137"/>
        <v>4607950</v>
      </c>
      <c r="Z246" s="12"/>
      <c r="AA246" s="12">
        <f t="shared" si="141"/>
        <v>4607950</v>
      </c>
      <c r="AB246" s="12">
        <v>0.02</v>
      </c>
      <c r="AC246" s="12">
        <f t="shared" si="142"/>
        <v>921.59</v>
      </c>
      <c r="AD246" s="42"/>
      <c r="AE246" s="12"/>
    </row>
    <row r="247" spans="1:31" s="46" customFormat="1" ht="21">
      <c r="A247" s="42" t="s">
        <v>0</v>
      </c>
      <c r="B247" s="42" t="s">
        <v>1</v>
      </c>
      <c r="C247" s="45" t="s">
        <v>1407</v>
      </c>
      <c r="D247" s="51" t="s">
        <v>262</v>
      </c>
      <c r="E247" s="10" t="s">
        <v>909</v>
      </c>
      <c r="F247" s="47" t="s">
        <v>137</v>
      </c>
      <c r="G247" s="42"/>
      <c r="H247" s="42"/>
      <c r="I247" s="44">
        <v>17</v>
      </c>
      <c r="J247" s="44">
        <f t="shared" si="138"/>
        <v>17</v>
      </c>
      <c r="K247" s="42">
        <v>21000</v>
      </c>
      <c r="L247" s="42">
        <f t="shared" si="135"/>
        <v>357000</v>
      </c>
      <c r="M247" s="42"/>
      <c r="N247" s="42" t="s">
        <v>60</v>
      </c>
      <c r="O247" s="101" t="s">
        <v>446</v>
      </c>
      <c r="P247" s="45">
        <v>2</v>
      </c>
      <c r="Q247" s="100">
        <v>180</v>
      </c>
      <c r="R247" s="100"/>
      <c r="S247" s="42">
        <v>7550</v>
      </c>
      <c r="T247" s="12">
        <f t="shared" si="139"/>
        <v>1359000</v>
      </c>
      <c r="U247" s="45" t="s">
        <v>73</v>
      </c>
      <c r="V247" s="12">
        <f>+T247*0.05</f>
        <v>67950</v>
      </c>
      <c r="W247" s="12">
        <f t="shared" si="140"/>
        <v>1291050</v>
      </c>
      <c r="X247" s="116"/>
      <c r="Y247" s="117">
        <f t="shared" si="137"/>
        <v>1648050</v>
      </c>
      <c r="Z247" s="12"/>
      <c r="AA247" s="12">
        <f t="shared" si="141"/>
        <v>1648050</v>
      </c>
      <c r="AB247" s="12">
        <v>0.02</v>
      </c>
      <c r="AC247" s="12">
        <f t="shared" si="142"/>
        <v>329.61</v>
      </c>
      <c r="AD247" s="42"/>
      <c r="AE247" s="12"/>
    </row>
    <row r="248" spans="1:31" s="46" customFormat="1" ht="21">
      <c r="A248" s="42" t="s">
        <v>0</v>
      </c>
      <c r="B248" s="42" t="s">
        <v>1</v>
      </c>
      <c r="C248" s="45" t="s">
        <v>1408</v>
      </c>
      <c r="D248" s="51" t="s">
        <v>263</v>
      </c>
      <c r="E248" s="10" t="s">
        <v>909</v>
      </c>
      <c r="F248" s="47" t="s">
        <v>167</v>
      </c>
      <c r="G248" s="42"/>
      <c r="H248" s="42"/>
      <c r="I248" s="44">
        <v>17</v>
      </c>
      <c r="J248" s="44">
        <f t="shared" si="138"/>
        <v>17</v>
      </c>
      <c r="K248" s="42">
        <v>21000</v>
      </c>
      <c r="L248" s="42">
        <f t="shared" si="135"/>
        <v>357000</v>
      </c>
      <c r="M248" s="42">
        <v>1</v>
      </c>
      <c r="N248" s="42" t="s">
        <v>60</v>
      </c>
      <c r="O248" s="101" t="s">
        <v>446</v>
      </c>
      <c r="P248" s="45">
        <v>3</v>
      </c>
      <c r="Q248" s="100">
        <v>32</v>
      </c>
      <c r="R248" s="100">
        <v>17.77</v>
      </c>
      <c r="S248" s="42">
        <v>7550</v>
      </c>
      <c r="T248" s="12">
        <f t="shared" si="139"/>
        <v>241600</v>
      </c>
      <c r="U248" s="45" t="s">
        <v>73</v>
      </c>
      <c r="V248" s="12">
        <f>+T248*0.05</f>
        <v>12080</v>
      </c>
      <c r="W248" s="12">
        <f t="shared" si="140"/>
        <v>229520</v>
      </c>
      <c r="X248" s="116"/>
      <c r="Y248" s="117">
        <f>+L248*(R248/100)+W248</f>
        <v>292958.9</v>
      </c>
      <c r="Z248" s="12"/>
      <c r="AA248" s="12">
        <f t="shared" si="141"/>
        <v>292958.9</v>
      </c>
      <c r="AB248" s="12">
        <v>0.3</v>
      </c>
      <c r="AC248" s="12">
        <f t="shared" si="142"/>
        <v>878.8767</v>
      </c>
      <c r="AD248" s="42"/>
      <c r="AE248" s="12"/>
    </row>
    <row r="249" spans="1:31" s="46" customFormat="1" ht="21">
      <c r="A249" s="42" t="s">
        <v>0</v>
      </c>
      <c r="B249" s="42"/>
      <c r="C249" s="45"/>
      <c r="D249" s="45"/>
      <c r="E249" s="31"/>
      <c r="F249" s="47"/>
      <c r="G249" s="42"/>
      <c r="H249" s="42"/>
      <c r="I249" s="44"/>
      <c r="J249" s="44">
        <f t="shared" si="138"/>
        <v>0</v>
      </c>
      <c r="K249" s="42"/>
      <c r="L249" s="42">
        <f t="shared" si="135"/>
        <v>0</v>
      </c>
      <c r="M249" s="42">
        <v>2</v>
      </c>
      <c r="N249" s="42" t="s">
        <v>60</v>
      </c>
      <c r="O249" s="101" t="s">
        <v>446</v>
      </c>
      <c r="P249" s="45">
        <v>2</v>
      </c>
      <c r="Q249" s="42">
        <v>148</v>
      </c>
      <c r="R249" s="100">
        <v>82.23</v>
      </c>
      <c r="S249" s="42">
        <v>7550</v>
      </c>
      <c r="T249" s="12">
        <f t="shared" si="139"/>
        <v>1117400</v>
      </c>
      <c r="U249" s="45" t="s">
        <v>73</v>
      </c>
      <c r="V249" s="12">
        <f>+T249*0.05</f>
        <v>55870</v>
      </c>
      <c r="W249" s="12">
        <f t="shared" si="140"/>
        <v>1061530</v>
      </c>
      <c r="X249" s="116"/>
      <c r="Y249" s="117">
        <f>+L248*(R249/100)+W249</f>
        <v>1355091.1</v>
      </c>
      <c r="Z249" s="12"/>
      <c r="AA249" s="12">
        <f t="shared" si="141"/>
        <v>1355091.1</v>
      </c>
      <c r="AB249" s="12">
        <v>0.02</v>
      </c>
      <c r="AC249" s="12">
        <f t="shared" si="142"/>
        <v>271.01822000000004</v>
      </c>
      <c r="AD249" s="42"/>
      <c r="AE249" s="12"/>
    </row>
    <row r="250" spans="1:31" s="46" customFormat="1" ht="21">
      <c r="A250" s="42" t="s">
        <v>0</v>
      </c>
      <c r="B250" s="42" t="s">
        <v>1</v>
      </c>
      <c r="C250" s="45" t="s">
        <v>1409</v>
      </c>
      <c r="D250" s="51" t="s">
        <v>265</v>
      </c>
      <c r="E250" s="29" t="s">
        <v>907</v>
      </c>
      <c r="F250" s="47" t="s">
        <v>177</v>
      </c>
      <c r="G250" s="42">
        <v>10</v>
      </c>
      <c r="H250" s="42"/>
      <c r="I250" s="44">
        <v>2.3</v>
      </c>
      <c r="J250" s="44">
        <f t="shared" si="138"/>
        <v>4002.3</v>
      </c>
      <c r="K250" s="42">
        <v>6000</v>
      </c>
      <c r="L250" s="42">
        <f>+K250*J250</f>
        <v>24013800</v>
      </c>
      <c r="M250" s="42"/>
      <c r="N250" s="42"/>
      <c r="O250" s="101"/>
      <c r="P250" s="45"/>
      <c r="Q250" s="42"/>
      <c r="R250" s="100"/>
      <c r="S250" s="42"/>
      <c r="T250" s="12">
        <f t="shared" si="139"/>
        <v>0</v>
      </c>
      <c r="U250" s="45"/>
      <c r="V250" s="12">
        <f aca="true" t="shared" si="143" ref="V250:V255">+T250*0</f>
        <v>0</v>
      </c>
      <c r="W250" s="12">
        <f t="shared" si="140"/>
        <v>0</v>
      </c>
      <c r="X250" s="116"/>
      <c r="Y250" s="117">
        <f aca="true" t="shared" si="144" ref="Y250:Y265">+L250+W250</f>
        <v>24013800</v>
      </c>
      <c r="Z250" s="12">
        <f>+Y250</f>
        <v>24013800</v>
      </c>
      <c r="AA250" s="12">
        <f t="shared" si="141"/>
        <v>0</v>
      </c>
      <c r="AB250" s="12"/>
      <c r="AC250" s="12">
        <f t="shared" si="142"/>
        <v>0</v>
      </c>
      <c r="AD250" s="42"/>
      <c r="AE250" s="12"/>
    </row>
    <row r="251" spans="1:31" s="46" customFormat="1" ht="21">
      <c r="A251" s="42"/>
      <c r="B251" s="42"/>
      <c r="C251" s="45"/>
      <c r="D251" s="31"/>
      <c r="E251" s="31"/>
      <c r="F251" s="47"/>
      <c r="G251" s="42"/>
      <c r="H251" s="42"/>
      <c r="I251" s="44"/>
      <c r="J251" s="44">
        <f t="shared" si="138"/>
        <v>0</v>
      </c>
      <c r="K251" s="42"/>
      <c r="L251" s="42">
        <f aca="true" t="shared" si="145" ref="L251:L274">+K251*J251</f>
        <v>0</v>
      </c>
      <c r="M251" s="42"/>
      <c r="N251" s="42"/>
      <c r="O251" s="101"/>
      <c r="P251" s="45"/>
      <c r="Q251" s="42"/>
      <c r="R251" s="42"/>
      <c r="S251" s="42"/>
      <c r="T251" s="12">
        <f t="shared" si="139"/>
        <v>0</v>
      </c>
      <c r="U251" s="45"/>
      <c r="V251" s="12">
        <f t="shared" si="143"/>
        <v>0</v>
      </c>
      <c r="W251" s="12">
        <f t="shared" si="140"/>
        <v>0</v>
      </c>
      <c r="X251" s="12"/>
      <c r="Y251" s="12">
        <f t="shared" si="144"/>
        <v>0</v>
      </c>
      <c r="Z251" s="12"/>
      <c r="AA251" s="12">
        <f t="shared" si="141"/>
        <v>0</v>
      </c>
      <c r="AB251" s="12"/>
      <c r="AC251" s="12">
        <f t="shared" si="142"/>
        <v>0</v>
      </c>
      <c r="AD251" s="42"/>
      <c r="AE251" s="12"/>
    </row>
    <row r="252" spans="1:31" s="46" customFormat="1" ht="21">
      <c r="A252" s="42"/>
      <c r="B252" s="42"/>
      <c r="C252" s="45"/>
      <c r="D252" s="31"/>
      <c r="E252" s="31"/>
      <c r="F252" s="47"/>
      <c r="G252" s="42"/>
      <c r="H252" s="42"/>
      <c r="I252" s="44"/>
      <c r="J252" s="44">
        <f t="shared" si="138"/>
        <v>0</v>
      </c>
      <c r="K252" s="42"/>
      <c r="L252" s="42">
        <f t="shared" si="145"/>
        <v>0</v>
      </c>
      <c r="M252" s="42"/>
      <c r="N252" s="42"/>
      <c r="O252" s="101"/>
      <c r="P252" s="45"/>
      <c r="Q252" s="42"/>
      <c r="R252" s="42"/>
      <c r="S252" s="42"/>
      <c r="T252" s="12">
        <f t="shared" si="139"/>
        <v>0</v>
      </c>
      <c r="U252" s="45"/>
      <c r="V252" s="12">
        <f t="shared" si="143"/>
        <v>0</v>
      </c>
      <c r="W252" s="12">
        <f t="shared" si="140"/>
        <v>0</v>
      </c>
      <c r="X252" s="12"/>
      <c r="Y252" s="12">
        <f t="shared" si="144"/>
        <v>0</v>
      </c>
      <c r="Z252" s="12"/>
      <c r="AA252" s="12">
        <f t="shared" si="141"/>
        <v>0</v>
      </c>
      <c r="AB252" s="12"/>
      <c r="AC252" s="12">
        <f t="shared" si="142"/>
        <v>0</v>
      </c>
      <c r="AD252" s="42"/>
      <c r="AE252" s="12"/>
    </row>
    <row r="253" spans="1:31" s="46" customFormat="1" ht="21">
      <c r="A253" s="42" t="s">
        <v>0</v>
      </c>
      <c r="B253" s="42" t="s">
        <v>1</v>
      </c>
      <c r="C253" s="45" t="s">
        <v>1410</v>
      </c>
      <c r="D253" s="45" t="s">
        <v>266</v>
      </c>
      <c r="E253" s="10" t="s">
        <v>909</v>
      </c>
      <c r="F253" s="47" t="s">
        <v>140</v>
      </c>
      <c r="G253" s="42"/>
      <c r="H253" s="42"/>
      <c r="I253" s="44">
        <v>96.7</v>
      </c>
      <c r="J253" s="44">
        <f t="shared" si="138"/>
        <v>96.7</v>
      </c>
      <c r="K253" s="42">
        <v>2000</v>
      </c>
      <c r="L253" s="42">
        <f t="shared" si="145"/>
        <v>193400</v>
      </c>
      <c r="M253" s="42"/>
      <c r="N253" s="42"/>
      <c r="O253" s="101"/>
      <c r="P253" s="45"/>
      <c r="Q253" s="42"/>
      <c r="R253" s="100"/>
      <c r="S253" s="42"/>
      <c r="T253" s="12">
        <f t="shared" si="139"/>
        <v>0</v>
      </c>
      <c r="U253" s="45"/>
      <c r="V253" s="12">
        <f t="shared" si="143"/>
        <v>0</v>
      </c>
      <c r="W253" s="12">
        <f t="shared" si="140"/>
        <v>0</v>
      </c>
      <c r="X253" s="116"/>
      <c r="Y253" s="117">
        <f t="shared" si="144"/>
        <v>193400</v>
      </c>
      <c r="Z253" s="12"/>
      <c r="AA253" s="12">
        <f t="shared" si="141"/>
        <v>193400</v>
      </c>
      <c r="AB253" s="12">
        <v>0.3</v>
      </c>
      <c r="AC253" s="12">
        <f t="shared" si="142"/>
        <v>580.2</v>
      </c>
      <c r="AD253" s="42"/>
      <c r="AE253" s="12"/>
    </row>
    <row r="254" spans="1:31" s="46" customFormat="1" ht="21">
      <c r="A254" s="42"/>
      <c r="B254" s="42"/>
      <c r="C254" s="45"/>
      <c r="D254" s="31"/>
      <c r="E254" s="31"/>
      <c r="F254" s="47"/>
      <c r="G254" s="42"/>
      <c r="H254" s="42"/>
      <c r="I254" s="44"/>
      <c r="J254" s="44">
        <f t="shared" si="138"/>
        <v>0</v>
      </c>
      <c r="K254" s="42"/>
      <c r="L254" s="42">
        <f t="shared" si="145"/>
        <v>0</v>
      </c>
      <c r="M254" s="42"/>
      <c r="N254" s="42"/>
      <c r="O254" s="101"/>
      <c r="P254" s="45"/>
      <c r="Q254" s="42"/>
      <c r="R254" s="42"/>
      <c r="S254" s="42"/>
      <c r="T254" s="12">
        <f t="shared" si="139"/>
        <v>0</v>
      </c>
      <c r="U254" s="45"/>
      <c r="V254" s="12">
        <f t="shared" si="143"/>
        <v>0</v>
      </c>
      <c r="W254" s="12">
        <f t="shared" si="140"/>
        <v>0</v>
      </c>
      <c r="X254" s="12"/>
      <c r="Y254" s="12">
        <f t="shared" si="144"/>
        <v>0</v>
      </c>
      <c r="Z254" s="12"/>
      <c r="AA254" s="12">
        <f t="shared" si="141"/>
        <v>0</v>
      </c>
      <c r="AB254" s="12"/>
      <c r="AC254" s="12">
        <f t="shared" si="142"/>
        <v>0</v>
      </c>
      <c r="AD254" s="42"/>
      <c r="AE254" s="12"/>
    </row>
    <row r="255" spans="1:31" s="46" customFormat="1" ht="21">
      <c r="A255" s="42"/>
      <c r="B255" s="42"/>
      <c r="C255" s="45"/>
      <c r="D255" s="31"/>
      <c r="E255" s="31"/>
      <c r="F255" s="47"/>
      <c r="G255" s="42"/>
      <c r="H255" s="42"/>
      <c r="I255" s="44"/>
      <c r="J255" s="44">
        <f t="shared" si="138"/>
        <v>0</v>
      </c>
      <c r="K255" s="42"/>
      <c r="L255" s="42">
        <f t="shared" si="145"/>
        <v>0</v>
      </c>
      <c r="M255" s="42"/>
      <c r="N255" s="42"/>
      <c r="O255" s="101"/>
      <c r="P255" s="45"/>
      <c r="Q255" s="42"/>
      <c r="R255" s="42"/>
      <c r="S255" s="42"/>
      <c r="T255" s="12">
        <f t="shared" si="139"/>
        <v>0</v>
      </c>
      <c r="U255" s="45"/>
      <c r="V255" s="12">
        <f t="shared" si="143"/>
        <v>0</v>
      </c>
      <c r="W255" s="12">
        <f t="shared" si="140"/>
        <v>0</v>
      </c>
      <c r="X255" s="12"/>
      <c r="Y255" s="12">
        <f t="shared" si="144"/>
        <v>0</v>
      </c>
      <c r="Z255" s="12"/>
      <c r="AA255" s="12">
        <f t="shared" si="141"/>
        <v>0</v>
      </c>
      <c r="AB255" s="12"/>
      <c r="AC255" s="12">
        <f t="shared" si="142"/>
        <v>0</v>
      </c>
      <c r="AD255" s="42"/>
      <c r="AE255" s="12"/>
    </row>
    <row r="256" spans="1:31" s="46" customFormat="1" ht="21">
      <c r="A256" s="42" t="s">
        <v>0</v>
      </c>
      <c r="B256" s="42" t="s">
        <v>1</v>
      </c>
      <c r="C256" s="45" t="s">
        <v>1411</v>
      </c>
      <c r="D256" s="51" t="s">
        <v>267</v>
      </c>
      <c r="E256" s="29" t="s">
        <v>907</v>
      </c>
      <c r="F256" s="47" t="s">
        <v>137</v>
      </c>
      <c r="G256" s="42"/>
      <c r="H256" s="42"/>
      <c r="I256" s="44">
        <v>26</v>
      </c>
      <c r="J256" s="44">
        <f t="shared" si="138"/>
        <v>26</v>
      </c>
      <c r="K256" s="42">
        <v>8000</v>
      </c>
      <c r="L256" s="42">
        <f t="shared" si="145"/>
        <v>208000</v>
      </c>
      <c r="M256" s="42"/>
      <c r="N256" s="42" t="s">
        <v>60</v>
      </c>
      <c r="O256" s="101" t="s">
        <v>446</v>
      </c>
      <c r="P256" s="45">
        <v>2</v>
      </c>
      <c r="Q256" s="100">
        <v>36</v>
      </c>
      <c r="R256" s="100"/>
      <c r="S256" s="42">
        <v>7550</v>
      </c>
      <c r="T256" s="12">
        <f t="shared" si="139"/>
        <v>271800</v>
      </c>
      <c r="U256" s="102" t="s">
        <v>94</v>
      </c>
      <c r="V256" s="12">
        <f>+T256*0.46</f>
        <v>125028</v>
      </c>
      <c r="W256" s="12">
        <f t="shared" si="140"/>
        <v>146772</v>
      </c>
      <c r="X256" s="116"/>
      <c r="Y256" s="117">
        <f t="shared" si="144"/>
        <v>354772</v>
      </c>
      <c r="Z256" s="12"/>
      <c r="AA256" s="12">
        <f t="shared" si="141"/>
        <v>354772</v>
      </c>
      <c r="AB256" s="12">
        <v>0.02</v>
      </c>
      <c r="AC256" s="12">
        <f t="shared" si="142"/>
        <v>70.9544</v>
      </c>
      <c r="AD256" s="42"/>
      <c r="AE256" s="12"/>
    </row>
    <row r="257" spans="1:31" s="46" customFormat="1" ht="21">
      <c r="A257" s="42" t="s">
        <v>0</v>
      </c>
      <c r="B257" s="42" t="s">
        <v>1</v>
      </c>
      <c r="C257" s="45" t="s">
        <v>1412</v>
      </c>
      <c r="D257" s="51" t="s">
        <v>268</v>
      </c>
      <c r="E257" s="29" t="s">
        <v>907</v>
      </c>
      <c r="F257" s="47" t="s">
        <v>137</v>
      </c>
      <c r="G257" s="42"/>
      <c r="H257" s="42"/>
      <c r="I257" s="44">
        <v>58.3</v>
      </c>
      <c r="J257" s="44">
        <f t="shared" si="138"/>
        <v>58.3</v>
      </c>
      <c r="K257" s="42">
        <v>6000</v>
      </c>
      <c r="L257" s="42">
        <f t="shared" si="145"/>
        <v>349800</v>
      </c>
      <c r="M257" s="42"/>
      <c r="N257" s="42" t="s">
        <v>64</v>
      </c>
      <c r="O257" s="101" t="s">
        <v>446</v>
      </c>
      <c r="P257" s="45">
        <v>2</v>
      </c>
      <c r="Q257" s="100">
        <v>108.8</v>
      </c>
      <c r="R257" s="100"/>
      <c r="S257" s="42">
        <v>6550</v>
      </c>
      <c r="T257" s="12">
        <f t="shared" si="139"/>
        <v>712640</v>
      </c>
      <c r="U257" s="102" t="s">
        <v>94</v>
      </c>
      <c r="V257" s="12">
        <f>+T257*0.46</f>
        <v>327814.4</v>
      </c>
      <c r="W257" s="12">
        <f t="shared" si="140"/>
        <v>384825.6</v>
      </c>
      <c r="X257" s="116"/>
      <c r="Y257" s="117">
        <f t="shared" si="144"/>
        <v>734625.6</v>
      </c>
      <c r="Z257" s="12">
        <f>+Y257</f>
        <v>734625.6</v>
      </c>
      <c r="AA257" s="12">
        <f t="shared" si="141"/>
        <v>0</v>
      </c>
      <c r="AB257" s="12"/>
      <c r="AC257" s="12">
        <f t="shared" si="142"/>
        <v>0</v>
      </c>
      <c r="AD257" s="42" t="s">
        <v>906</v>
      </c>
      <c r="AE257" s="50"/>
    </row>
    <row r="258" spans="1:31" s="46" customFormat="1" ht="21">
      <c r="A258" s="42"/>
      <c r="B258" s="42"/>
      <c r="C258" s="45"/>
      <c r="D258" s="31"/>
      <c r="E258" s="31"/>
      <c r="F258" s="47"/>
      <c r="G258" s="42"/>
      <c r="H258" s="42"/>
      <c r="I258" s="44"/>
      <c r="J258" s="44">
        <f t="shared" si="138"/>
        <v>0</v>
      </c>
      <c r="K258" s="42"/>
      <c r="L258" s="42">
        <f t="shared" si="145"/>
        <v>0</v>
      </c>
      <c r="M258" s="42"/>
      <c r="N258" s="42"/>
      <c r="O258" s="101"/>
      <c r="P258" s="45"/>
      <c r="Q258" s="42"/>
      <c r="R258" s="42"/>
      <c r="S258" s="42"/>
      <c r="T258" s="12">
        <f t="shared" si="139"/>
        <v>0</v>
      </c>
      <c r="U258" s="45"/>
      <c r="V258" s="12">
        <f aca="true" t="shared" si="146" ref="V258:V263">+T258*0</f>
        <v>0</v>
      </c>
      <c r="W258" s="12">
        <f t="shared" si="140"/>
        <v>0</v>
      </c>
      <c r="X258" s="12"/>
      <c r="Y258" s="12">
        <f t="shared" si="144"/>
        <v>0</v>
      </c>
      <c r="Z258" s="12"/>
      <c r="AA258" s="12">
        <f t="shared" si="141"/>
        <v>0</v>
      </c>
      <c r="AB258" s="12"/>
      <c r="AC258" s="12">
        <f t="shared" si="142"/>
        <v>0</v>
      </c>
      <c r="AD258" s="42"/>
      <c r="AE258" s="12"/>
    </row>
    <row r="259" spans="1:31" s="46" customFormat="1" ht="21">
      <c r="A259" s="42"/>
      <c r="B259" s="42"/>
      <c r="C259" s="45"/>
      <c r="D259" s="31"/>
      <c r="E259" s="31"/>
      <c r="F259" s="47"/>
      <c r="G259" s="42"/>
      <c r="H259" s="42"/>
      <c r="I259" s="44"/>
      <c r="J259" s="44">
        <f t="shared" si="138"/>
        <v>0</v>
      </c>
      <c r="K259" s="42"/>
      <c r="L259" s="42">
        <f t="shared" si="145"/>
        <v>0</v>
      </c>
      <c r="M259" s="42"/>
      <c r="N259" s="42"/>
      <c r="O259" s="101"/>
      <c r="P259" s="45"/>
      <c r="Q259" s="42"/>
      <c r="R259" s="42"/>
      <c r="S259" s="42"/>
      <c r="T259" s="12">
        <f t="shared" si="139"/>
        <v>0</v>
      </c>
      <c r="U259" s="45"/>
      <c r="V259" s="12">
        <f t="shared" si="146"/>
        <v>0</v>
      </c>
      <c r="W259" s="12">
        <f t="shared" si="140"/>
        <v>0</v>
      </c>
      <c r="X259" s="12"/>
      <c r="Y259" s="12">
        <f t="shared" si="144"/>
        <v>0</v>
      </c>
      <c r="Z259" s="12"/>
      <c r="AA259" s="12">
        <f t="shared" si="141"/>
        <v>0</v>
      </c>
      <c r="AB259" s="12"/>
      <c r="AC259" s="12">
        <f t="shared" si="142"/>
        <v>0</v>
      </c>
      <c r="AD259" s="42"/>
      <c r="AE259" s="12"/>
    </row>
    <row r="260" spans="1:31" s="46" customFormat="1" ht="21">
      <c r="A260" s="42" t="s">
        <v>0</v>
      </c>
      <c r="B260" s="42" t="s">
        <v>1</v>
      </c>
      <c r="C260" s="45" t="s">
        <v>1413</v>
      </c>
      <c r="D260" s="45" t="s">
        <v>269</v>
      </c>
      <c r="E260" s="29" t="s">
        <v>907</v>
      </c>
      <c r="F260" s="47" t="s">
        <v>140</v>
      </c>
      <c r="G260" s="42"/>
      <c r="H260" s="42"/>
      <c r="I260" s="44">
        <v>49.3</v>
      </c>
      <c r="J260" s="44">
        <f t="shared" si="138"/>
        <v>49.3</v>
      </c>
      <c r="K260" s="42">
        <v>6000</v>
      </c>
      <c r="L260" s="42">
        <f t="shared" si="145"/>
        <v>295800</v>
      </c>
      <c r="M260" s="42"/>
      <c r="N260" s="42"/>
      <c r="O260" s="101"/>
      <c r="P260" s="45"/>
      <c r="Q260" s="42"/>
      <c r="R260" s="100"/>
      <c r="S260" s="42"/>
      <c r="T260" s="12">
        <f t="shared" si="139"/>
        <v>0</v>
      </c>
      <c r="U260" s="45"/>
      <c r="V260" s="12">
        <f t="shared" si="146"/>
        <v>0</v>
      </c>
      <c r="W260" s="12">
        <f t="shared" si="140"/>
        <v>0</v>
      </c>
      <c r="X260" s="116"/>
      <c r="Y260" s="117">
        <f t="shared" si="144"/>
        <v>295800</v>
      </c>
      <c r="Z260" s="12"/>
      <c r="AA260" s="12">
        <f t="shared" si="141"/>
        <v>295800</v>
      </c>
      <c r="AB260" s="12">
        <v>0.3</v>
      </c>
      <c r="AC260" s="12">
        <f t="shared" si="142"/>
        <v>887.4</v>
      </c>
      <c r="AD260" s="42"/>
      <c r="AE260" s="12"/>
    </row>
    <row r="261" spans="1:31" s="46" customFormat="1" ht="21">
      <c r="A261" s="42" t="s">
        <v>0</v>
      </c>
      <c r="B261" s="42" t="s">
        <v>1</v>
      </c>
      <c r="C261" s="45" t="s">
        <v>1414</v>
      </c>
      <c r="D261" s="45" t="s">
        <v>270</v>
      </c>
      <c r="E261" s="29" t="s">
        <v>907</v>
      </c>
      <c r="F261" s="47" t="s">
        <v>140</v>
      </c>
      <c r="G261" s="42"/>
      <c r="H261" s="42"/>
      <c r="I261" s="44">
        <v>49.7</v>
      </c>
      <c r="J261" s="44">
        <f t="shared" si="138"/>
        <v>49.7</v>
      </c>
      <c r="K261" s="42">
        <v>6000</v>
      </c>
      <c r="L261" s="42">
        <f t="shared" si="145"/>
        <v>298200</v>
      </c>
      <c r="M261" s="42"/>
      <c r="N261" s="42"/>
      <c r="O261" s="101"/>
      <c r="P261" s="45"/>
      <c r="Q261" s="42"/>
      <c r="R261" s="100"/>
      <c r="S261" s="42"/>
      <c r="T261" s="12">
        <f t="shared" si="139"/>
        <v>0</v>
      </c>
      <c r="U261" s="45"/>
      <c r="V261" s="12">
        <f t="shared" si="146"/>
        <v>0</v>
      </c>
      <c r="W261" s="12">
        <f t="shared" si="140"/>
        <v>0</v>
      </c>
      <c r="X261" s="116"/>
      <c r="Y261" s="117">
        <f t="shared" si="144"/>
        <v>298200</v>
      </c>
      <c r="Z261" s="12"/>
      <c r="AA261" s="12">
        <f t="shared" si="141"/>
        <v>298200</v>
      </c>
      <c r="AB261" s="12">
        <v>0.3</v>
      </c>
      <c r="AC261" s="12">
        <f t="shared" si="142"/>
        <v>894.6</v>
      </c>
      <c r="AD261" s="42"/>
      <c r="AE261" s="12"/>
    </row>
    <row r="262" spans="1:31" s="46" customFormat="1" ht="21">
      <c r="A262" s="42"/>
      <c r="B262" s="42"/>
      <c r="C262" s="45"/>
      <c r="D262" s="31"/>
      <c r="E262" s="31"/>
      <c r="F262" s="47"/>
      <c r="G262" s="42"/>
      <c r="H262" s="42"/>
      <c r="I262" s="44"/>
      <c r="J262" s="44">
        <f t="shared" si="138"/>
        <v>0</v>
      </c>
      <c r="K262" s="42"/>
      <c r="L262" s="42">
        <f t="shared" si="145"/>
        <v>0</v>
      </c>
      <c r="M262" s="42"/>
      <c r="N262" s="42"/>
      <c r="O262" s="101"/>
      <c r="P262" s="45"/>
      <c r="Q262" s="42"/>
      <c r="R262" s="42"/>
      <c r="S262" s="42"/>
      <c r="T262" s="12">
        <f t="shared" si="139"/>
        <v>0</v>
      </c>
      <c r="U262" s="45"/>
      <c r="V262" s="12">
        <f t="shared" si="146"/>
        <v>0</v>
      </c>
      <c r="W262" s="12">
        <f t="shared" si="140"/>
        <v>0</v>
      </c>
      <c r="X262" s="12"/>
      <c r="Y262" s="12">
        <f t="shared" si="144"/>
        <v>0</v>
      </c>
      <c r="Z262" s="12"/>
      <c r="AA262" s="12">
        <f t="shared" si="141"/>
        <v>0</v>
      </c>
      <c r="AB262" s="12"/>
      <c r="AC262" s="12">
        <f t="shared" si="142"/>
        <v>0</v>
      </c>
      <c r="AD262" s="42"/>
      <c r="AE262" s="12"/>
    </row>
    <row r="263" spans="1:31" s="46" customFormat="1" ht="21">
      <c r="A263" s="42"/>
      <c r="B263" s="42"/>
      <c r="C263" s="45"/>
      <c r="D263" s="31"/>
      <c r="E263" s="31"/>
      <c r="F263" s="47"/>
      <c r="G263" s="42"/>
      <c r="H263" s="42"/>
      <c r="I263" s="44"/>
      <c r="J263" s="44">
        <f t="shared" si="138"/>
        <v>0</v>
      </c>
      <c r="K263" s="42"/>
      <c r="L263" s="42">
        <f t="shared" si="145"/>
        <v>0</v>
      </c>
      <c r="M263" s="42"/>
      <c r="N263" s="42"/>
      <c r="O263" s="101"/>
      <c r="P263" s="45"/>
      <c r="Q263" s="42"/>
      <c r="R263" s="42"/>
      <c r="S263" s="42"/>
      <c r="T263" s="12">
        <f t="shared" si="139"/>
        <v>0</v>
      </c>
      <c r="U263" s="45"/>
      <c r="V263" s="12">
        <f t="shared" si="146"/>
        <v>0</v>
      </c>
      <c r="W263" s="12">
        <f t="shared" si="140"/>
        <v>0</v>
      </c>
      <c r="X263" s="12"/>
      <c r="Y263" s="12">
        <f t="shared" si="144"/>
        <v>0</v>
      </c>
      <c r="Z263" s="12"/>
      <c r="AA263" s="12">
        <f t="shared" si="141"/>
        <v>0</v>
      </c>
      <c r="AB263" s="12"/>
      <c r="AC263" s="12">
        <f t="shared" si="142"/>
        <v>0</v>
      </c>
      <c r="AD263" s="42"/>
      <c r="AE263" s="12"/>
    </row>
    <row r="264" spans="1:31" s="46" customFormat="1" ht="21">
      <c r="A264" s="42" t="s">
        <v>0</v>
      </c>
      <c r="B264" s="42" t="s">
        <v>1</v>
      </c>
      <c r="C264" s="45" t="s">
        <v>1415</v>
      </c>
      <c r="D264" s="51" t="s">
        <v>271</v>
      </c>
      <c r="E264" s="29" t="s">
        <v>912</v>
      </c>
      <c r="F264" s="47" t="s">
        <v>137</v>
      </c>
      <c r="G264" s="42"/>
      <c r="H264" s="42"/>
      <c r="I264" s="44">
        <v>50</v>
      </c>
      <c r="J264" s="44">
        <f aca="true" t="shared" si="147" ref="J264:J272">+I264+(H264*100)+(G264*400)</f>
        <v>50</v>
      </c>
      <c r="K264" s="42">
        <v>150</v>
      </c>
      <c r="L264" s="42">
        <f aca="true" t="shared" si="148" ref="L264:L272">+K264*J264</f>
        <v>7500</v>
      </c>
      <c r="M264" s="42"/>
      <c r="N264" s="42" t="s">
        <v>64</v>
      </c>
      <c r="O264" s="101" t="s">
        <v>446</v>
      </c>
      <c r="P264" s="45">
        <v>2</v>
      </c>
      <c r="Q264" s="100">
        <f>45.9+104</f>
        <v>149.9</v>
      </c>
      <c r="R264" s="100"/>
      <c r="S264" s="42">
        <v>6550</v>
      </c>
      <c r="T264" s="12">
        <f aca="true" t="shared" si="149" ref="T264:T272">+Q264*S264</f>
        <v>981845</v>
      </c>
      <c r="U264" s="102" t="s">
        <v>109</v>
      </c>
      <c r="V264" s="12">
        <f>+T264*0.76</f>
        <v>746202.2</v>
      </c>
      <c r="W264" s="12">
        <f aca="true" t="shared" si="150" ref="W264:W272">+T264-V264</f>
        <v>235642.80000000005</v>
      </c>
      <c r="X264" s="116"/>
      <c r="Y264" s="117">
        <f t="shared" si="144"/>
        <v>243142.80000000005</v>
      </c>
      <c r="Z264" s="12"/>
      <c r="AA264" s="12">
        <f aca="true" t="shared" si="151" ref="AA264:AA272">+Y264-Z264</f>
        <v>243142.80000000005</v>
      </c>
      <c r="AB264" s="12">
        <v>0.02</v>
      </c>
      <c r="AC264" s="12">
        <f aca="true" t="shared" si="152" ref="AC264:AC272">+AA264*AB264/100</f>
        <v>48.62856000000001</v>
      </c>
      <c r="AD264" s="42"/>
      <c r="AE264" s="12"/>
    </row>
    <row r="265" spans="1:31" s="46" customFormat="1" ht="21">
      <c r="A265" s="42" t="s">
        <v>0</v>
      </c>
      <c r="B265" s="42"/>
      <c r="C265" s="45"/>
      <c r="D265" s="45"/>
      <c r="E265" s="31"/>
      <c r="F265" s="47" t="s">
        <v>177</v>
      </c>
      <c r="G265" s="42">
        <v>2</v>
      </c>
      <c r="H265" s="42">
        <v>2</v>
      </c>
      <c r="I265" s="44">
        <v>79.2</v>
      </c>
      <c r="J265" s="44">
        <f>+I265+(H265*100)+(G265*400)</f>
        <v>1079.2</v>
      </c>
      <c r="K265" s="42">
        <v>150</v>
      </c>
      <c r="L265" s="42">
        <f t="shared" si="148"/>
        <v>161880</v>
      </c>
      <c r="M265" s="42"/>
      <c r="N265" s="42"/>
      <c r="O265" s="101"/>
      <c r="P265" s="45"/>
      <c r="Q265" s="42"/>
      <c r="R265" s="100"/>
      <c r="S265" s="42"/>
      <c r="T265" s="12">
        <f>+Q265*S265</f>
        <v>0</v>
      </c>
      <c r="U265" s="45"/>
      <c r="V265" s="12">
        <f>+T265*0</f>
        <v>0</v>
      </c>
      <c r="W265" s="12">
        <f>+T265-V265</f>
        <v>0</v>
      </c>
      <c r="X265" s="116"/>
      <c r="Y265" s="117">
        <f t="shared" si="144"/>
        <v>161880</v>
      </c>
      <c r="Z265" s="12">
        <f>+Y265</f>
        <v>161880</v>
      </c>
      <c r="AA265" s="12">
        <f>+Y265-Z265</f>
        <v>0</v>
      </c>
      <c r="AB265" s="12"/>
      <c r="AC265" s="12">
        <f>+AA265*AB265/100</f>
        <v>0</v>
      </c>
      <c r="AD265" s="42"/>
      <c r="AE265" s="12"/>
    </row>
    <row r="266" spans="1:31" s="46" customFormat="1" ht="21">
      <c r="A266" s="42" t="s">
        <v>0</v>
      </c>
      <c r="B266" s="42" t="s">
        <v>1</v>
      </c>
      <c r="C266" s="45" t="s">
        <v>1416</v>
      </c>
      <c r="D266" s="51" t="s">
        <v>272</v>
      </c>
      <c r="E266" s="29" t="s">
        <v>912</v>
      </c>
      <c r="F266" s="47" t="s">
        <v>177</v>
      </c>
      <c r="G266" s="42">
        <v>1</v>
      </c>
      <c r="H266" s="42"/>
      <c r="I266" s="44">
        <v>57</v>
      </c>
      <c r="J266" s="44">
        <f t="shared" si="147"/>
        <v>457</v>
      </c>
      <c r="K266" s="42">
        <v>150</v>
      </c>
      <c r="L266" s="42">
        <f t="shared" si="148"/>
        <v>68550</v>
      </c>
      <c r="M266" s="42"/>
      <c r="N266" s="42"/>
      <c r="O266" s="101"/>
      <c r="P266" s="45"/>
      <c r="Q266" s="42"/>
      <c r="R266" s="100"/>
      <c r="S266" s="42"/>
      <c r="T266" s="12">
        <f t="shared" si="149"/>
        <v>0</v>
      </c>
      <c r="U266" s="45"/>
      <c r="V266" s="12">
        <f aca="true" t="shared" si="153" ref="V266:V272">+T266*0</f>
        <v>0</v>
      </c>
      <c r="W266" s="12">
        <f t="shared" si="150"/>
        <v>0</v>
      </c>
      <c r="X266" s="116"/>
      <c r="Y266" s="117">
        <f aca="true" t="shared" si="154" ref="Y266:Y272">+L266+W266</f>
        <v>68550</v>
      </c>
      <c r="Z266" s="12">
        <f aca="true" t="shared" si="155" ref="Z266:Z272">+Y266</f>
        <v>68550</v>
      </c>
      <c r="AA266" s="12">
        <f t="shared" si="151"/>
        <v>0</v>
      </c>
      <c r="AB266" s="12"/>
      <c r="AC266" s="12">
        <f t="shared" si="152"/>
        <v>0</v>
      </c>
      <c r="AD266" s="42"/>
      <c r="AE266" s="12"/>
    </row>
    <row r="267" spans="1:31" s="46" customFormat="1" ht="21">
      <c r="A267" s="42" t="s">
        <v>0</v>
      </c>
      <c r="B267" s="42" t="s">
        <v>1</v>
      </c>
      <c r="C267" s="45" t="s">
        <v>1417</v>
      </c>
      <c r="D267" s="51" t="s">
        <v>273</v>
      </c>
      <c r="E267" s="29" t="s">
        <v>912</v>
      </c>
      <c r="F267" s="47" t="s">
        <v>177</v>
      </c>
      <c r="G267" s="42">
        <v>1</v>
      </c>
      <c r="H267" s="42"/>
      <c r="I267" s="44">
        <v>7</v>
      </c>
      <c r="J267" s="44">
        <f t="shared" si="147"/>
        <v>407</v>
      </c>
      <c r="K267" s="42">
        <v>150</v>
      </c>
      <c r="L267" s="42">
        <f t="shared" si="148"/>
        <v>61050</v>
      </c>
      <c r="M267" s="42"/>
      <c r="N267" s="42"/>
      <c r="O267" s="101"/>
      <c r="P267" s="45"/>
      <c r="Q267" s="42"/>
      <c r="R267" s="100"/>
      <c r="S267" s="42"/>
      <c r="T267" s="12">
        <f t="shared" si="149"/>
        <v>0</v>
      </c>
      <c r="U267" s="45"/>
      <c r="V267" s="12">
        <f t="shared" si="153"/>
        <v>0</v>
      </c>
      <c r="W267" s="12">
        <f t="shared" si="150"/>
        <v>0</v>
      </c>
      <c r="X267" s="116"/>
      <c r="Y267" s="117">
        <f t="shared" si="154"/>
        <v>61050</v>
      </c>
      <c r="Z267" s="12">
        <f t="shared" si="155"/>
        <v>61050</v>
      </c>
      <c r="AA267" s="12">
        <f t="shared" si="151"/>
        <v>0</v>
      </c>
      <c r="AB267" s="12"/>
      <c r="AC267" s="12">
        <f t="shared" si="152"/>
        <v>0</v>
      </c>
      <c r="AD267" s="42"/>
      <c r="AE267" s="12"/>
    </row>
    <row r="268" spans="1:31" s="46" customFormat="1" ht="21">
      <c r="A268" s="42" t="s">
        <v>0</v>
      </c>
      <c r="B268" s="42" t="s">
        <v>1</v>
      </c>
      <c r="C268" s="45" t="s">
        <v>1418</v>
      </c>
      <c r="D268" s="51" t="s">
        <v>274</v>
      </c>
      <c r="E268" s="29" t="s">
        <v>912</v>
      </c>
      <c r="F268" s="47" t="s">
        <v>177</v>
      </c>
      <c r="G268" s="42">
        <v>1</v>
      </c>
      <c r="H268" s="42"/>
      <c r="I268" s="44">
        <v>57</v>
      </c>
      <c r="J268" s="44">
        <f t="shared" si="147"/>
        <v>457</v>
      </c>
      <c r="K268" s="42">
        <v>150</v>
      </c>
      <c r="L268" s="42">
        <f t="shared" si="148"/>
        <v>68550</v>
      </c>
      <c r="M268" s="42"/>
      <c r="N268" s="42"/>
      <c r="O268" s="101"/>
      <c r="P268" s="45"/>
      <c r="Q268" s="42"/>
      <c r="R268" s="100"/>
      <c r="S268" s="42"/>
      <c r="T268" s="12">
        <f t="shared" si="149"/>
        <v>0</v>
      </c>
      <c r="U268" s="45"/>
      <c r="V268" s="12">
        <f t="shared" si="153"/>
        <v>0</v>
      </c>
      <c r="W268" s="12">
        <f t="shared" si="150"/>
        <v>0</v>
      </c>
      <c r="X268" s="116"/>
      <c r="Y268" s="117">
        <f t="shared" si="154"/>
        <v>68550</v>
      </c>
      <c r="Z268" s="12">
        <f t="shared" si="155"/>
        <v>68550</v>
      </c>
      <c r="AA268" s="12">
        <f t="shared" si="151"/>
        <v>0</v>
      </c>
      <c r="AB268" s="12"/>
      <c r="AC268" s="12">
        <f t="shared" si="152"/>
        <v>0</v>
      </c>
      <c r="AD268" s="42"/>
      <c r="AE268" s="12"/>
    </row>
    <row r="269" spans="1:31" s="46" customFormat="1" ht="21">
      <c r="A269" s="42" t="s">
        <v>0</v>
      </c>
      <c r="B269" s="42" t="s">
        <v>1</v>
      </c>
      <c r="C269" s="45" t="s">
        <v>1419</v>
      </c>
      <c r="D269" s="51" t="s">
        <v>275</v>
      </c>
      <c r="E269" s="29" t="s">
        <v>912</v>
      </c>
      <c r="F269" s="47" t="s">
        <v>177</v>
      </c>
      <c r="G269" s="42">
        <v>1</v>
      </c>
      <c r="H269" s="42"/>
      <c r="I269" s="44"/>
      <c r="J269" s="44">
        <f t="shared" si="147"/>
        <v>400</v>
      </c>
      <c r="K269" s="42">
        <v>375</v>
      </c>
      <c r="L269" s="42">
        <f t="shared" si="148"/>
        <v>150000</v>
      </c>
      <c r="M269" s="42"/>
      <c r="N269" s="42"/>
      <c r="O269" s="101"/>
      <c r="P269" s="45"/>
      <c r="Q269" s="42"/>
      <c r="R269" s="100"/>
      <c r="S269" s="42"/>
      <c r="T269" s="12">
        <f t="shared" si="149"/>
        <v>0</v>
      </c>
      <c r="U269" s="45"/>
      <c r="V269" s="12">
        <f t="shared" si="153"/>
        <v>0</v>
      </c>
      <c r="W269" s="12">
        <f t="shared" si="150"/>
        <v>0</v>
      </c>
      <c r="X269" s="116"/>
      <c r="Y269" s="117">
        <f t="shared" si="154"/>
        <v>150000</v>
      </c>
      <c r="Z269" s="12">
        <f t="shared" si="155"/>
        <v>150000</v>
      </c>
      <c r="AA269" s="12">
        <f t="shared" si="151"/>
        <v>0</v>
      </c>
      <c r="AB269" s="12"/>
      <c r="AC269" s="12">
        <f t="shared" si="152"/>
        <v>0</v>
      </c>
      <c r="AD269" s="42"/>
      <c r="AE269" s="12"/>
    </row>
    <row r="270" spans="1:31" s="46" customFormat="1" ht="21">
      <c r="A270" s="42" t="s">
        <v>0</v>
      </c>
      <c r="B270" s="42" t="s">
        <v>1</v>
      </c>
      <c r="C270" s="45" t="s">
        <v>1420</v>
      </c>
      <c r="D270" s="51" t="s">
        <v>445</v>
      </c>
      <c r="E270" s="29" t="s">
        <v>912</v>
      </c>
      <c r="F270" s="47" t="s">
        <v>177</v>
      </c>
      <c r="G270" s="42">
        <v>1</v>
      </c>
      <c r="H270" s="42"/>
      <c r="I270" s="44">
        <v>57</v>
      </c>
      <c r="J270" s="44">
        <f t="shared" si="147"/>
        <v>457</v>
      </c>
      <c r="K270" s="42">
        <v>150</v>
      </c>
      <c r="L270" s="42">
        <f t="shared" si="148"/>
        <v>68550</v>
      </c>
      <c r="M270" s="42"/>
      <c r="N270" s="42"/>
      <c r="O270" s="101"/>
      <c r="P270" s="45"/>
      <c r="Q270" s="42"/>
      <c r="R270" s="100"/>
      <c r="S270" s="42"/>
      <c r="T270" s="12">
        <f t="shared" si="149"/>
        <v>0</v>
      </c>
      <c r="U270" s="45"/>
      <c r="V270" s="12">
        <f t="shared" si="153"/>
        <v>0</v>
      </c>
      <c r="W270" s="12">
        <f t="shared" si="150"/>
        <v>0</v>
      </c>
      <c r="X270" s="116"/>
      <c r="Y270" s="117">
        <f t="shared" si="154"/>
        <v>68550</v>
      </c>
      <c r="Z270" s="12">
        <f t="shared" si="155"/>
        <v>68550</v>
      </c>
      <c r="AA270" s="12">
        <f t="shared" si="151"/>
        <v>0</v>
      </c>
      <c r="AB270" s="12"/>
      <c r="AC270" s="12">
        <f t="shared" si="152"/>
        <v>0</v>
      </c>
      <c r="AD270" s="42"/>
      <c r="AE270" s="12"/>
    </row>
    <row r="271" spans="1:31" s="46" customFormat="1" ht="21">
      <c r="A271" s="42" t="s">
        <v>0</v>
      </c>
      <c r="B271" s="42" t="s">
        <v>1</v>
      </c>
      <c r="C271" s="45" t="s">
        <v>1422</v>
      </c>
      <c r="D271" s="51" t="s">
        <v>276</v>
      </c>
      <c r="E271" s="29" t="s">
        <v>912</v>
      </c>
      <c r="F271" s="47" t="s">
        <v>177</v>
      </c>
      <c r="G271" s="42">
        <v>1</v>
      </c>
      <c r="H271" s="42"/>
      <c r="I271" s="44">
        <v>59.9</v>
      </c>
      <c r="J271" s="44">
        <f t="shared" si="147"/>
        <v>459.9</v>
      </c>
      <c r="K271" s="42">
        <v>150</v>
      </c>
      <c r="L271" s="42">
        <f t="shared" si="148"/>
        <v>68985</v>
      </c>
      <c r="M271" s="42"/>
      <c r="N271" s="42"/>
      <c r="O271" s="101"/>
      <c r="P271" s="45"/>
      <c r="Q271" s="42"/>
      <c r="R271" s="100"/>
      <c r="S271" s="42"/>
      <c r="T271" s="12">
        <f t="shared" si="149"/>
        <v>0</v>
      </c>
      <c r="U271" s="45"/>
      <c r="V271" s="12">
        <f t="shared" si="153"/>
        <v>0</v>
      </c>
      <c r="W271" s="12">
        <f t="shared" si="150"/>
        <v>0</v>
      </c>
      <c r="X271" s="116"/>
      <c r="Y271" s="117">
        <f t="shared" si="154"/>
        <v>68985</v>
      </c>
      <c r="Z271" s="12">
        <f t="shared" si="155"/>
        <v>68985</v>
      </c>
      <c r="AA271" s="12">
        <f t="shared" si="151"/>
        <v>0</v>
      </c>
      <c r="AB271" s="12"/>
      <c r="AC271" s="12">
        <f t="shared" si="152"/>
        <v>0</v>
      </c>
      <c r="AD271" s="42"/>
      <c r="AE271" s="12"/>
    </row>
    <row r="272" spans="1:31" s="46" customFormat="1" ht="21">
      <c r="A272" s="42" t="s">
        <v>0</v>
      </c>
      <c r="B272" s="42" t="s">
        <v>1</v>
      </c>
      <c r="C272" s="45" t="s">
        <v>1421</v>
      </c>
      <c r="D272" s="51" t="s">
        <v>277</v>
      </c>
      <c r="E272" s="29" t="s">
        <v>912</v>
      </c>
      <c r="F272" s="47" t="s">
        <v>177</v>
      </c>
      <c r="G272" s="42">
        <v>1</v>
      </c>
      <c r="H272" s="42"/>
      <c r="I272" s="44">
        <v>57</v>
      </c>
      <c r="J272" s="44">
        <f t="shared" si="147"/>
        <v>457</v>
      </c>
      <c r="K272" s="42">
        <v>150</v>
      </c>
      <c r="L272" s="42">
        <f t="shared" si="148"/>
        <v>68550</v>
      </c>
      <c r="M272" s="42"/>
      <c r="N272" s="42"/>
      <c r="O272" s="101"/>
      <c r="P272" s="45"/>
      <c r="Q272" s="42"/>
      <c r="R272" s="100"/>
      <c r="S272" s="42"/>
      <c r="T272" s="12">
        <f t="shared" si="149"/>
        <v>0</v>
      </c>
      <c r="U272" s="45"/>
      <c r="V272" s="12">
        <f t="shared" si="153"/>
        <v>0</v>
      </c>
      <c r="W272" s="12">
        <f t="shared" si="150"/>
        <v>0</v>
      </c>
      <c r="X272" s="116"/>
      <c r="Y272" s="117">
        <f t="shared" si="154"/>
        <v>68550</v>
      </c>
      <c r="Z272" s="12">
        <f t="shared" si="155"/>
        <v>68550</v>
      </c>
      <c r="AA272" s="12">
        <f t="shared" si="151"/>
        <v>0</v>
      </c>
      <c r="AB272" s="12"/>
      <c r="AC272" s="12">
        <f t="shared" si="152"/>
        <v>0</v>
      </c>
      <c r="AD272" s="42"/>
      <c r="AE272" s="12"/>
    </row>
    <row r="273" spans="1:31" s="46" customFormat="1" ht="21">
      <c r="A273" s="42" t="s">
        <v>0</v>
      </c>
      <c r="B273" s="42" t="s">
        <v>1</v>
      </c>
      <c r="C273" s="45" t="s">
        <v>1423</v>
      </c>
      <c r="D273" s="45" t="s">
        <v>278</v>
      </c>
      <c r="E273" s="10" t="s">
        <v>909</v>
      </c>
      <c r="F273" s="47" t="s">
        <v>137</v>
      </c>
      <c r="G273" s="42"/>
      <c r="H273" s="42"/>
      <c r="I273" s="44">
        <v>87.2</v>
      </c>
      <c r="J273" s="44">
        <f>+I273+(H273*100)+(G273*400)</f>
        <v>87.2</v>
      </c>
      <c r="K273" s="42">
        <v>25000</v>
      </c>
      <c r="L273" s="42">
        <f t="shared" si="145"/>
        <v>2180000</v>
      </c>
      <c r="M273" s="42"/>
      <c r="N273" s="42" t="s">
        <v>64</v>
      </c>
      <c r="O273" s="101" t="s">
        <v>446</v>
      </c>
      <c r="P273" s="45">
        <v>2</v>
      </c>
      <c r="Q273" s="100">
        <v>196</v>
      </c>
      <c r="R273" s="100"/>
      <c r="S273" s="42">
        <v>6550</v>
      </c>
      <c r="T273" s="12">
        <f>+Q273*S273</f>
        <v>1283800</v>
      </c>
      <c r="U273" s="102" t="s">
        <v>96</v>
      </c>
      <c r="V273" s="12">
        <f>+T273*0.5</f>
        <v>641900</v>
      </c>
      <c r="W273" s="12">
        <f>+T273-V273</f>
        <v>641900</v>
      </c>
      <c r="X273" s="116"/>
      <c r="Y273" s="117">
        <f>+L273+W273</f>
        <v>2821900</v>
      </c>
      <c r="Z273" s="12">
        <f>+Y273</f>
        <v>2821900</v>
      </c>
      <c r="AA273" s="12">
        <f>+Y273-Z273</f>
        <v>0</v>
      </c>
      <c r="AB273" s="12"/>
      <c r="AC273" s="12">
        <f>+AA273*AB273/100</f>
        <v>0</v>
      </c>
      <c r="AD273" s="42" t="s">
        <v>906</v>
      </c>
      <c r="AE273" s="50"/>
    </row>
    <row r="274" spans="1:31" s="46" customFormat="1" ht="21">
      <c r="A274" s="42" t="s">
        <v>0</v>
      </c>
      <c r="B274" s="42" t="s">
        <v>1</v>
      </c>
      <c r="C274" s="45" t="s">
        <v>1424</v>
      </c>
      <c r="D274" s="45" t="s">
        <v>279</v>
      </c>
      <c r="E274" s="10" t="s">
        <v>909</v>
      </c>
      <c r="F274" s="47" t="s">
        <v>177</v>
      </c>
      <c r="G274" s="42">
        <v>4</v>
      </c>
      <c r="H274" s="42"/>
      <c r="I274" s="44">
        <v>90.3</v>
      </c>
      <c r="J274" s="44">
        <f>+I274+(H274*100)+(G274*400)</f>
        <v>1690.3</v>
      </c>
      <c r="K274" s="42">
        <v>6250</v>
      </c>
      <c r="L274" s="42">
        <f t="shared" si="145"/>
        <v>10564375</v>
      </c>
      <c r="M274" s="42"/>
      <c r="N274" s="42"/>
      <c r="O274" s="101"/>
      <c r="P274" s="45"/>
      <c r="Q274" s="42"/>
      <c r="R274" s="100"/>
      <c r="S274" s="42"/>
      <c r="T274" s="12">
        <f>+Q274*S274</f>
        <v>0</v>
      </c>
      <c r="U274" s="45"/>
      <c r="V274" s="12">
        <f>+T274*0</f>
        <v>0</v>
      </c>
      <c r="W274" s="12">
        <f>+T274-V274</f>
        <v>0</v>
      </c>
      <c r="X274" s="116"/>
      <c r="Y274" s="117">
        <f>+L274+W274</f>
        <v>10564375</v>
      </c>
      <c r="Z274" s="12">
        <f>+Y274</f>
        <v>10564375</v>
      </c>
      <c r="AA274" s="12">
        <f>+Y274-Z274</f>
        <v>0</v>
      </c>
      <c r="AB274" s="12"/>
      <c r="AC274" s="12">
        <f>+AA274*AB274/100</f>
        <v>0</v>
      </c>
      <c r="AD274" s="42"/>
      <c r="AE274" s="12"/>
    </row>
    <row r="275" spans="1:31" s="46" customFormat="1" ht="21">
      <c r="A275" s="42" t="s">
        <v>0</v>
      </c>
      <c r="B275" s="42"/>
      <c r="C275" s="45"/>
      <c r="D275" s="45" t="s">
        <v>280</v>
      </c>
      <c r="E275" s="45"/>
      <c r="F275" s="47" t="s">
        <v>167</v>
      </c>
      <c r="G275" s="42">
        <v>1</v>
      </c>
      <c r="H275" s="42"/>
      <c r="I275" s="44"/>
      <c r="J275" s="44">
        <f>+I275+(H275*100)+(G275*400)</f>
        <v>400</v>
      </c>
      <c r="K275" s="42">
        <v>6250</v>
      </c>
      <c r="L275" s="42">
        <f aca="true" t="shared" si="156" ref="L275:L287">+K275*J275</f>
        <v>2500000</v>
      </c>
      <c r="M275" s="42">
        <v>1</v>
      </c>
      <c r="N275" s="42" t="s">
        <v>117</v>
      </c>
      <c r="O275" s="104" t="s">
        <v>446</v>
      </c>
      <c r="P275" s="45">
        <v>3</v>
      </c>
      <c r="Q275" s="104">
        <v>237</v>
      </c>
      <c r="R275" s="100">
        <v>68.22</v>
      </c>
      <c r="S275" s="42">
        <v>2500</v>
      </c>
      <c r="T275" s="12">
        <f>+Q275*S275</f>
        <v>592500</v>
      </c>
      <c r="U275" s="102" t="s">
        <v>96</v>
      </c>
      <c r="V275" s="12">
        <f>+T275*0.5</f>
        <v>296250</v>
      </c>
      <c r="W275" s="12">
        <f>+T275-V275</f>
        <v>296250</v>
      </c>
      <c r="X275" s="116"/>
      <c r="Y275" s="117">
        <f>+L275*(R275/100)+W275</f>
        <v>2001750</v>
      </c>
      <c r="Z275" s="12"/>
      <c r="AA275" s="12">
        <f>+Y275-Z275</f>
        <v>2001750</v>
      </c>
      <c r="AB275" s="12">
        <v>0.3</v>
      </c>
      <c r="AC275" s="12">
        <f>+AA275*AB275/100</f>
        <v>6005.25</v>
      </c>
      <c r="AD275" s="42"/>
      <c r="AE275" s="12"/>
    </row>
    <row r="276" spans="1:31" s="46" customFormat="1" ht="21">
      <c r="A276" s="42" t="s">
        <v>0</v>
      </c>
      <c r="B276" s="42"/>
      <c r="C276" s="45"/>
      <c r="D276" s="45"/>
      <c r="E276" s="31"/>
      <c r="F276" s="47"/>
      <c r="G276" s="42"/>
      <c r="H276" s="42"/>
      <c r="I276" s="44"/>
      <c r="J276" s="44">
        <f>+I276+(H276*100)+(G276*400)</f>
        <v>0</v>
      </c>
      <c r="K276" s="42"/>
      <c r="L276" s="42">
        <f t="shared" si="156"/>
        <v>0</v>
      </c>
      <c r="M276" s="42">
        <v>2</v>
      </c>
      <c r="N276" s="42" t="s">
        <v>117</v>
      </c>
      <c r="O276" s="104" t="s">
        <v>446</v>
      </c>
      <c r="P276" s="45">
        <v>3</v>
      </c>
      <c r="Q276" s="104">
        <v>28</v>
      </c>
      <c r="R276" s="100">
        <v>8.06</v>
      </c>
      <c r="S276" s="42">
        <v>2500</v>
      </c>
      <c r="T276" s="12">
        <f>+Q276*S276</f>
        <v>70000</v>
      </c>
      <c r="U276" s="102" t="s">
        <v>96</v>
      </c>
      <c r="V276" s="12">
        <f>+T276*0.5</f>
        <v>35000</v>
      </c>
      <c r="W276" s="12">
        <f>+T276-V276</f>
        <v>35000</v>
      </c>
      <c r="X276" s="116"/>
      <c r="Y276" s="117">
        <f>+L275*(R276/100)+W276</f>
        <v>236500</v>
      </c>
      <c r="Z276" s="12"/>
      <c r="AA276" s="12">
        <f>+Y276-Z276</f>
        <v>236500</v>
      </c>
      <c r="AB276" s="12">
        <v>0.3</v>
      </c>
      <c r="AC276" s="12">
        <f>+AA276*AB276/100</f>
        <v>709.5</v>
      </c>
      <c r="AD276" s="42"/>
      <c r="AE276" s="12"/>
    </row>
    <row r="277" spans="1:31" s="46" customFormat="1" ht="21">
      <c r="A277" s="42" t="s">
        <v>0</v>
      </c>
      <c r="B277" s="42"/>
      <c r="C277" s="45"/>
      <c r="D277" s="45"/>
      <c r="E277" s="31"/>
      <c r="F277" s="47"/>
      <c r="G277" s="42"/>
      <c r="H277" s="42"/>
      <c r="I277" s="44"/>
      <c r="J277" s="44">
        <f>+I277+(H277*100)+(G277*400)</f>
        <v>0</v>
      </c>
      <c r="K277" s="42"/>
      <c r="L277" s="42">
        <f t="shared" si="156"/>
        <v>0</v>
      </c>
      <c r="M277" s="42">
        <v>3</v>
      </c>
      <c r="N277" s="42" t="s">
        <v>64</v>
      </c>
      <c r="O277" s="101" t="s">
        <v>446</v>
      </c>
      <c r="P277" s="45">
        <v>2</v>
      </c>
      <c r="Q277" s="100">
        <v>82.4</v>
      </c>
      <c r="R277" s="100">
        <v>23.72</v>
      </c>
      <c r="S277" s="42">
        <v>6550</v>
      </c>
      <c r="T277" s="12">
        <f>+Q277*S277</f>
        <v>539720</v>
      </c>
      <c r="U277" s="102" t="s">
        <v>96</v>
      </c>
      <c r="V277" s="12">
        <f>+T277*0.5</f>
        <v>269860</v>
      </c>
      <c r="W277" s="12">
        <f>+T277-V277</f>
        <v>269860</v>
      </c>
      <c r="X277" s="116"/>
      <c r="Y277" s="117">
        <f>+L275*(R277/100)+W277</f>
        <v>862860</v>
      </c>
      <c r="Z277" s="12"/>
      <c r="AA277" s="12">
        <f>+Y277-Z277</f>
        <v>862860</v>
      </c>
      <c r="AB277" s="12">
        <v>0.02</v>
      </c>
      <c r="AC277" s="12">
        <f>+AA277*AB277/100</f>
        <v>172.572</v>
      </c>
      <c r="AD277" s="42"/>
      <c r="AE277" s="12"/>
    </row>
    <row r="278" spans="1:31" s="46" customFormat="1" ht="21">
      <c r="A278" s="42" t="s">
        <v>0</v>
      </c>
      <c r="B278" s="42" t="s">
        <v>1</v>
      </c>
      <c r="C278" s="45" t="s">
        <v>1425</v>
      </c>
      <c r="D278" s="45" t="s">
        <v>281</v>
      </c>
      <c r="E278" s="29" t="s">
        <v>907</v>
      </c>
      <c r="F278" s="47" t="s">
        <v>143</v>
      </c>
      <c r="G278" s="42"/>
      <c r="H278" s="42"/>
      <c r="I278" s="44">
        <v>45.5</v>
      </c>
      <c r="J278" s="44">
        <f aca="true" t="shared" si="157" ref="J278:J285">+I278+(H278*100)+(G278*400)</f>
        <v>45.5</v>
      </c>
      <c r="K278" s="42">
        <v>40000</v>
      </c>
      <c r="L278" s="42">
        <f t="shared" si="156"/>
        <v>1820000</v>
      </c>
      <c r="M278" s="42">
        <v>1</v>
      </c>
      <c r="N278" s="42" t="s">
        <v>61</v>
      </c>
      <c r="O278" s="101" t="s">
        <v>446</v>
      </c>
      <c r="P278" s="45">
        <v>3</v>
      </c>
      <c r="Q278" s="100">
        <v>48</v>
      </c>
      <c r="R278" s="100">
        <v>54.54</v>
      </c>
      <c r="S278" s="42">
        <v>6650</v>
      </c>
      <c r="T278" s="12">
        <f aca="true" t="shared" si="158" ref="T278:T285">+Q278*S278</f>
        <v>319200</v>
      </c>
      <c r="U278" s="45" t="s">
        <v>193</v>
      </c>
      <c r="V278" s="12">
        <f>+T278*0.01</f>
        <v>3192</v>
      </c>
      <c r="W278" s="12">
        <f aca="true" t="shared" si="159" ref="W278:W285">+T278-V278</f>
        <v>316008</v>
      </c>
      <c r="X278" s="116"/>
      <c r="Y278" s="117">
        <f>+L278*(R278/100)+W278</f>
        <v>1308636</v>
      </c>
      <c r="Z278" s="12"/>
      <c r="AA278" s="12">
        <f aca="true" t="shared" si="160" ref="AA278:AA285">+Y278-Z278</f>
        <v>1308636</v>
      </c>
      <c r="AB278" s="12">
        <v>0.3</v>
      </c>
      <c r="AC278" s="12">
        <f aca="true" t="shared" si="161" ref="AC278:AC285">+AA278*AB278/100</f>
        <v>3925.908</v>
      </c>
      <c r="AD278" s="42"/>
      <c r="AE278" s="12"/>
    </row>
    <row r="279" spans="1:31" s="46" customFormat="1" ht="21">
      <c r="A279" s="42" t="s">
        <v>0</v>
      </c>
      <c r="B279" s="42"/>
      <c r="C279" s="45"/>
      <c r="D279" s="45"/>
      <c r="E279" s="31"/>
      <c r="F279" s="47"/>
      <c r="G279" s="42"/>
      <c r="H279" s="42"/>
      <c r="I279" s="44"/>
      <c r="J279" s="44">
        <f>+I279+(H279*100)+(G279*400)</f>
        <v>0</v>
      </c>
      <c r="K279" s="42"/>
      <c r="L279" s="42">
        <f t="shared" si="156"/>
        <v>0</v>
      </c>
      <c r="M279" s="42">
        <v>2</v>
      </c>
      <c r="N279" s="42" t="s">
        <v>61</v>
      </c>
      <c r="O279" s="101" t="s">
        <v>446</v>
      </c>
      <c r="P279" s="45">
        <v>3</v>
      </c>
      <c r="Q279" s="100">
        <v>40</v>
      </c>
      <c r="R279" s="100">
        <v>45.46</v>
      </c>
      <c r="S279" s="42">
        <v>6650</v>
      </c>
      <c r="T279" s="12">
        <f>+Q279*S279</f>
        <v>266000</v>
      </c>
      <c r="U279" s="45" t="s">
        <v>193</v>
      </c>
      <c r="V279" s="12">
        <f>+T279*0.01</f>
        <v>2660</v>
      </c>
      <c r="W279" s="12">
        <f>+T279-V279</f>
        <v>263340</v>
      </c>
      <c r="X279" s="116"/>
      <c r="Y279" s="117">
        <f>+L278*(R279/100)+W279</f>
        <v>1090712</v>
      </c>
      <c r="Z279" s="12"/>
      <c r="AA279" s="12">
        <f>+Y279-Z279</f>
        <v>1090712</v>
      </c>
      <c r="AB279" s="12">
        <v>0.3</v>
      </c>
      <c r="AC279" s="12">
        <f>+AA279*AB279/100</f>
        <v>3272.136</v>
      </c>
      <c r="AD279" s="42"/>
      <c r="AE279" s="12"/>
    </row>
    <row r="280" spans="1:31" s="46" customFormat="1" ht="21">
      <c r="A280" s="42" t="s">
        <v>0</v>
      </c>
      <c r="B280" s="42" t="s">
        <v>1</v>
      </c>
      <c r="C280" s="45" t="s">
        <v>1426</v>
      </c>
      <c r="D280" s="45" t="s">
        <v>282</v>
      </c>
      <c r="E280" s="30" t="s">
        <v>908</v>
      </c>
      <c r="F280" s="47" t="s">
        <v>143</v>
      </c>
      <c r="G280" s="42"/>
      <c r="H280" s="42"/>
      <c r="I280" s="44">
        <v>13.4</v>
      </c>
      <c r="J280" s="44">
        <f t="shared" si="157"/>
        <v>13.4</v>
      </c>
      <c r="K280" s="42">
        <v>60000</v>
      </c>
      <c r="L280" s="42">
        <f t="shared" si="156"/>
        <v>804000</v>
      </c>
      <c r="M280" s="42"/>
      <c r="N280" s="42" t="s">
        <v>61</v>
      </c>
      <c r="O280" s="101" t="s">
        <v>454</v>
      </c>
      <c r="P280" s="45">
        <v>3</v>
      </c>
      <c r="Q280" s="100">
        <v>104</v>
      </c>
      <c r="R280" s="100"/>
      <c r="S280" s="42">
        <v>6650</v>
      </c>
      <c r="T280" s="12">
        <f t="shared" si="158"/>
        <v>691600</v>
      </c>
      <c r="U280" s="102" t="s">
        <v>457</v>
      </c>
      <c r="V280" s="12">
        <f>+T280*0.93</f>
        <v>643188</v>
      </c>
      <c r="W280" s="12">
        <f t="shared" si="159"/>
        <v>48412</v>
      </c>
      <c r="X280" s="116"/>
      <c r="Y280" s="117">
        <f>+L280+W280</f>
        <v>852412</v>
      </c>
      <c r="Z280" s="12"/>
      <c r="AA280" s="12">
        <f t="shared" si="160"/>
        <v>852412</v>
      </c>
      <c r="AB280" s="12">
        <v>0.3</v>
      </c>
      <c r="AC280" s="12">
        <f t="shared" si="161"/>
        <v>2557.236</v>
      </c>
      <c r="AD280" s="42"/>
      <c r="AE280" s="12"/>
    </row>
    <row r="281" spans="1:31" s="46" customFormat="1" ht="21">
      <c r="A281" s="42"/>
      <c r="B281" s="42"/>
      <c r="C281" s="45"/>
      <c r="D281" s="31"/>
      <c r="E281" s="31"/>
      <c r="F281" s="47"/>
      <c r="G281" s="42"/>
      <c r="H281" s="42"/>
      <c r="I281" s="44"/>
      <c r="J281" s="44">
        <f t="shared" si="157"/>
        <v>0</v>
      </c>
      <c r="K281" s="42"/>
      <c r="L281" s="42">
        <f t="shared" si="156"/>
        <v>0</v>
      </c>
      <c r="M281" s="42"/>
      <c r="N281" s="42"/>
      <c r="O281" s="101"/>
      <c r="P281" s="45"/>
      <c r="Q281" s="42"/>
      <c r="R281" s="42"/>
      <c r="S281" s="42"/>
      <c r="T281" s="12">
        <f t="shared" si="158"/>
        <v>0</v>
      </c>
      <c r="U281" s="45"/>
      <c r="V281" s="12">
        <f>+T281*0</f>
        <v>0</v>
      </c>
      <c r="W281" s="12">
        <f t="shared" si="159"/>
        <v>0</v>
      </c>
      <c r="X281" s="12"/>
      <c r="Y281" s="12">
        <f>+L281+W281</f>
        <v>0</v>
      </c>
      <c r="Z281" s="12"/>
      <c r="AA281" s="12">
        <f t="shared" si="160"/>
        <v>0</v>
      </c>
      <c r="AB281" s="12"/>
      <c r="AC281" s="12">
        <f t="shared" si="161"/>
        <v>0</v>
      </c>
      <c r="AD281" s="42"/>
      <c r="AE281" s="12"/>
    </row>
    <row r="282" spans="1:31" s="46" customFormat="1" ht="21">
      <c r="A282" s="42"/>
      <c r="B282" s="42"/>
      <c r="C282" s="45"/>
      <c r="D282" s="31"/>
      <c r="E282" s="31"/>
      <c r="F282" s="47"/>
      <c r="G282" s="42"/>
      <c r="H282" s="42"/>
      <c r="I282" s="44"/>
      <c r="J282" s="44">
        <f t="shared" si="157"/>
        <v>0</v>
      </c>
      <c r="K282" s="42"/>
      <c r="L282" s="42">
        <f t="shared" si="156"/>
        <v>0</v>
      </c>
      <c r="M282" s="42"/>
      <c r="N282" s="42"/>
      <c r="O282" s="101"/>
      <c r="P282" s="45"/>
      <c r="Q282" s="42"/>
      <c r="R282" s="42"/>
      <c r="S282" s="42"/>
      <c r="T282" s="12">
        <f t="shared" si="158"/>
        <v>0</v>
      </c>
      <c r="U282" s="45"/>
      <c r="V282" s="12">
        <f>+T282*0</f>
        <v>0</v>
      </c>
      <c r="W282" s="12">
        <f t="shared" si="159"/>
        <v>0</v>
      </c>
      <c r="X282" s="12"/>
      <c r="Y282" s="12">
        <f>+L282+W282</f>
        <v>0</v>
      </c>
      <c r="Z282" s="12"/>
      <c r="AA282" s="12">
        <f t="shared" si="160"/>
        <v>0</v>
      </c>
      <c r="AB282" s="12"/>
      <c r="AC282" s="12">
        <f t="shared" si="161"/>
        <v>0</v>
      </c>
      <c r="AD282" s="42"/>
      <c r="AE282" s="12"/>
    </row>
    <row r="283" spans="1:31" s="46" customFormat="1" ht="21">
      <c r="A283" s="42" t="s">
        <v>0</v>
      </c>
      <c r="B283" s="42" t="s">
        <v>1</v>
      </c>
      <c r="C283" s="45" t="s">
        <v>1427</v>
      </c>
      <c r="D283" s="45" t="s">
        <v>889</v>
      </c>
      <c r="E283" s="29" t="s">
        <v>907</v>
      </c>
      <c r="F283" s="47" t="s">
        <v>167</v>
      </c>
      <c r="G283" s="42"/>
      <c r="H283" s="42"/>
      <c r="I283" s="44">
        <v>16.8</v>
      </c>
      <c r="J283" s="44">
        <f t="shared" si="157"/>
        <v>16.8</v>
      </c>
      <c r="K283" s="42">
        <v>50000</v>
      </c>
      <c r="L283" s="42">
        <f t="shared" si="156"/>
        <v>840000</v>
      </c>
      <c r="M283" s="42">
        <v>1</v>
      </c>
      <c r="N283" s="42" t="s">
        <v>61</v>
      </c>
      <c r="O283" s="101" t="s">
        <v>446</v>
      </c>
      <c r="P283" s="45">
        <v>2</v>
      </c>
      <c r="Q283" s="100">
        <v>148</v>
      </c>
      <c r="R283" s="100">
        <v>82.23</v>
      </c>
      <c r="S283" s="42">
        <v>6650</v>
      </c>
      <c r="T283" s="12">
        <f t="shared" si="158"/>
        <v>984200</v>
      </c>
      <c r="U283" s="102" t="s">
        <v>98</v>
      </c>
      <c r="V283" s="12">
        <f>+T283*0.54</f>
        <v>531468</v>
      </c>
      <c r="W283" s="12">
        <f t="shared" si="159"/>
        <v>452732</v>
      </c>
      <c r="X283" s="116"/>
      <c r="Y283" s="117">
        <f>+L283*(R283/100)+W283</f>
        <v>1143464</v>
      </c>
      <c r="Z283" s="12">
        <f>+Y283</f>
        <v>1143464</v>
      </c>
      <c r="AA283" s="12">
        <f t="shared" si="160"/>
        <v>0</v>
      </c>
      <c r="AB283" s="12"/>
      <c r="AC283" s="12">
        <f t="shared" si="161"/>
        <v>0</v>
      </c>
      <c r="AD283" s="42" t="s">
        <v>906</v>
      </c>
      <c r="AE283" s="12"/>
    </row>
    <row r="284" spans="1:31" s="46" customFormat="1" ht="21">
      <c r="A284" s="42" t="s">
        <v>0</v>
      </c>
      <c r="B284" s="42"/>
      <c r="C284" s="45"/>
      <c r="D284" s="45"/>
      <c r="E284" s="31"/>
      <c r="F284" s="47"/>
      <c r="G284" s="42"/>
      <c r="H284" s="42"/>
      <c r="I284" s="44"/>
      <c r="J284" s="44">
        <f t="shared" si="157"/>
        <v>0</v>
      </c>
      <c r="K284" s="42"/>
      <c r="L284" s="42">
        <f t="shared" si="156"/>
        <v>0</v>
      </c>
      <c r="M284" s="42">
        <v>2</v>
      </c>
      <c r="N284" s="42" t="s">
        <v>61</v>
      </c>
      <c r="O284" s="101" t="s">
        <v>446</v>
      </c>
      <c r="P284" s="45">
        <v>3</v>
      </c>
      <c r="Q284" s="100">
        <v>32</v>
      </c>
      <c r="R284" s="100">
        <v>17.77</v>
      </c>
      <c r="S284" s="42">
        <v>6650</v>
      </c>
      <c r="T284" s="12">
        <f t="shared" si="158"/>
        <v>212800</v>
      </c>
      <c r="U284" s="102" t="s">
        <v>98</v>
      </c>
      <c r="V284" s="12">
        <f>+T284*0.54</f>
        <v>114912.00000000001</v>
      </c>
      <c r="W284" s="12">
        <f t="shared" si="159"/>
        <v>97887.99999999999</v>
      </c>
      <c r="X284" s="116"/>
      <c r="Y284" s="117">
        <f>+L283*(R284/100)+W284</f>
        <v>247156</v>
      </c>
      <c r="Z284" s="12"/>
      <c r="AA284" s="12">
        <f t="shared" si="160"/>
        <v>247156</v>
      </c>
      <c r="AB284" s="12">
        <v>0.3</v>
      </c>
      <c r="AC284" s="12">
        <f t="shared" si="161"/>
        <v>741.4680000000001</v>
      </c>
      <c r="AD284" s="42"/>
      <c r="AE284" s="12"/>
    </row>
    <row r="285" spans="1:31" s="46" customFormat="1" ht="21">
      <c r="A285" s="42"/>
      <c r="B285" s="42"/>
      <c r="C285" s="45"/>
      <c r="D285" s="31"/>
      <c r="E285" s="31"/>
      <c r="F285" s="47"/>
      <c r="G285" s="42"/>
      <c r="H285" s="42"/>
      <c r="I285" s="44"/>
      <c r="J285" s="44">
        <f t="shared" si="157"/>
        <v>0</v>
      </c>
      <c r="K285" s="42"/>
      <c r="L285" s="42">
        <f t="shared" si="156"/>
        <v>0</v>
      </c>
      <c r="M285" s="42"/>
      <c r="N285" s="42"/>
      <c r="O285" s="101"/>
      <c r="P285" s="45"/>
      <c r="Q285" s="42"/>
      <c r="R285" s="42"/>
      <c r="S285" s="42"/>
      <c r="T285" s="12">
        <f t="shared" si="158"/>
        <v>0</v>
      </c>
      <c r="U285" s="45"/>
      <c r="V285" s="12">
        <f>+T285*0</f>
        <v>0</v>
      </c>
      <c r="W285" s="12">
        <f t="shared" si="159"/>
        <v>0</v>
      </c>
      <c r="X285" s="12"/>
      <c r="Y285" s="12">
        <f>+L285+W285</f>
        <v>0</v>
      </c>
      <c r="Z285" s="12"/>
      <c r="AA285" s="12">
        <f t="shared" si="160"/>
        <v>0</v>
      </c>
      <c r="AB285" s="12"/>
      <c r="AC285" s="12">
        <f t="shared" si="161"/>
        <v>0</v>
      </c>
      <c r="AD285" s="42"/>
      <c r="AE285" s="12"/>
    </row>
    <row r="286" spans="1:31" s="46" customFormat="1" ht="21">
      <c r="A286" s="42" t="s">
        <v>0</v>
      </c>
      <c r="B286" s="42" t="s">
        <v>152</v>
      </c>
      <c r="C286" s="45" t="s">
        <v>1428</v>
      </c>
      <c r="D286" s="51" t="s">
        <v>283</v>
      </c>
      <c r="E286" s="29" t="s">
        <v>912</v>
      </c>
      <c r="F286" s="47" t="s">
        <v>137</v>
      </c>
      <c r="G286" s="42"/>
      <c r="H286" s="42"/>
      <c r="I286" s="44">
        <v>20</v>
      </c>
      <c r="J286" s="44">
        <f aca="true" t="shared" si="162" ref="J286:J291">+I286+(H286*100)+(G286*400)</f>
        <v>20</v>
      </c>
      <c r="K286" s="42">
        <v>200</v>
      </c>
      <c r="L286" s="42">
        <f t="shared" si="156"/>
        <v>4000</v>
      </c>
      <c r="M286" s="42"/>
      <c r="N286" s="42" t="s">
        <v>64</v>
      </c>
      <c r="O286" s="101" t="s">
        <v>454</v>
      </c>
      <c r="P286" s="45">
        <v>2</v>
      </c>
      <c r="Q286" s="100">
        <v>54</v>
      </c>
      <c r="R286" s="100"/>
      <c r="S286" s="42">
        <v>6550</v>
      </c>
      <c r="T286" s="12">
        <f aca="true" t="shared" si="163" ref="T286:T291">+Q286*S286</f>
        <v>353700</v>
      </c>
      <c r="U286" s="102" t="s">
        <v>458</v>
      </c>
      <c r="V286" s="12">
        <f>+T286*0.93</f>
        <v>328941</v>
      </c>
      <c r="W286" s="12">
        <f aca="true" t="shared" si="164" ref="W286:W291">+T286-V286</f>
        <v>24759</v>
      </c>
      <c r="X286" s="116"/>
      <c r="Y286" s="117">
        <f aca="true" t="shared" si="165" ref="Y286:Y291">+L286+W286</f>
        <v>28759</v>
      </c>
      <c r="Z286" s="12">
        <f>+Y286</f>
        <v>28759</v>
      </c>
      <c r="AA286" s="12">
        <f aca="true" t="shared" si="166" ref="AA286:AA291">+Y286-Z286</f>
        <v>0</v>
      </c>
      <c r="AB286" s="12"/>
      <c r="AC286" s="12">
        <f aca="true" t="shared" si="167" ref="AC286:AC291">+AA286*AB286/100</f>
        <v>0</v>
      </c>
      <c r="AD286" s="42" t="s">
        <v>906</v>
      </c>
      <c r="AE286" s="12"/>
    </row>
    <row r="287" spans="1:31" s="46" customFormat="1" ht="21">
      <c r="A287" s="42" t="s">
        <v>0</v>
      </c>
      <c r="B287" s="42"/>
      <c r="C287" s="45"/>
      <c r="D287" s="45"/>
      <c r="E287" s="31"/>
      <c r="F287" s="47" t="s">
        <v>177</v>
      </c>
      <c r="G287" s="42">
        <v>2</v>
      </c>
      <c r="H287" s="42">
        <v>1</v>
      </c>
      <c r="I287" s="44">
        <v>44</v>
      </c>
      <c r="J287" s="44">
        <f t="shared" si="162"/>
        <v>944</v>
      </c>
      <c r="K287" s="42">
        <v>200</v>
      </c>
      <c r="L287" s="42">
        <f t="shared" si="156"/>
        <v>188800</v>
      </c>
      <c r="M287" s="42"/>
      <c r="N287" s="42"/>
      <c r="O287" s="101"/>
      <c r="P287" s="45"/>
      <c r="Q287" s="42"/>
      <c r="R287" s="100"/>
      <c r="S287" s="42"/>
      <c r="T287" s="12">
        <f t="shared" si="163"/>
        <v>0</v>
      </c>
      <c r="U287" s="45"/>
      <c r="V287" s="12">
        <f>+T287*0</f>
        <v>0</v>
      </c>
      <c r="W287" s="12">
        <f t="shared" si="164"/>
        <v>0</v>
      </c>
      <c r="X287" s="116"/>
      <c r="Y287" s="117">
        <f t="shared" si="165"/>
        <v>188800</v>
      </c>
      <c r="Z287" s="12"/>
      <c r="AA287" s="12">
        <f t="shared" si="166"/>
        <v>188800</v>
      </c>
      <c r="AB287" s="12">
        <v>0.01</v>
      </c>
      <c r="AC287" s="12">
        <f t="shared" si="167"/>
        <v>18.88</v>
      </c>
      <c r="AD287" s="42"/>
      <c r="AE287" s="12"/>
    </row>
    <row r="288" spans="1:31" s="46" customFormat="1" ht="21">
      <c r="A288" s="42"/>
      <c r="B288" s="42"/>
      <c r="C288" s="45"/>
      <c r="D288" s="31"/>
      <c r="E288" s="31"/>
      <c r="F288" s="47"/>
      <c r="G288" s="42"/>
      <c r="H288" s="42"/>
      <c r="I288" s="44"/>
      <c r="J288" s="44">
        <f t="shared" si="162"/>
        <v>0</v>
      </c>
      <c r="K288" s="42"/>
      <c r="L288" s="42">
        <f aca="true" t="shared" si="168" ref="L288:L294">+K288*J288</f>
        <v>0</v>
      </c>
      <c r="M288" s="42"/>
      <c r="N288" s="42"/>
      <c r="O288" s="101"/>
      <c r="P288" s="45"/>
      <c r="Q288" s="42"/>
      <c r="R288" s="42"/>
      <c r="S288" s="42"/>
      <c r="T288" s="12">
        <f t="shared" si="163"/>
        <v>0</v>
      </c>
      <c r="U288" s="45"/>
      <c r="V288" s="12">
        <f>+T288*0</f>
        <v>0</v>
      </c>
      <c r="W288" s="12">
        <f t="shared" si="164"/>
        <v>0</v>
      </c>
      <c r="X288" s="12"/>
      <c r="Y288" s="12">
        <f t="shared" si="165"/>
        <v>0</v>
      </c>
      <c r="Z288" s="12"/>
      <c r="AA288" s="12">
        <f t="shared" si="166"/>
        <v>0</v>
      </c>
      <c r="AB288" s="12"/>
      <c r="AC288" s="12">
        <f t="shared" si="167"/>
        <v>0</v>
      </c>
      <c r="AD288" s="42"/>
      <c r="AE288" s="12"/>
    </row>
    <row r="289" spans="1:31" s="46" customFormat="1" ht="21">
      <c r="A289" s="42"/>
      <c r="B289" s="42"/>
      <c r="C289" s="45"/>
      <c r="D289" s="31"/>
      <c r="E289" s="31"/>
      <c r="F289" s="47"/>
      <c r="G289" s="42"/>
      <c r="H289" s="42"/>
      <c r="I289" s="44"/>
      <c r="J289" s="44">
        <f t="shared" si="162"/>
        <v>0</v>
      </c>
      <c r="K289" s="42"/>
      <c r="L289" s="42">
        <f t="shared" si="168"/>
        <v>0</v>
      </c>
      <c r="M289" s="42"/>
      <c r="N289" s="42"/>
      <c r="O289" s="101"/>
      <c r="P289" s="45"/>
      <c r="Q289" s="42"/>
      <c r="R289" s="42"/>
      <c r="S289" s="42"/>
      <c r="T289" s="12">
        <f t="shared" si="163"/>
        <v>0</v>
      </c>
      <c r="U289" s="45"/>
      <c r="V289" s="12">
        <f>+T289*0</f>
        <v>0</v>
      </c>
      <c r="W289" s="12">
        <f t="shared" si="164"/>
        <v>0</v>
      </c>
      <c r="X289" s="12"/>
      <c r="Y289" s="12">
        <f t="shared" si="165"/>
        <v>0</v>
      </c>
      <c r="Z289" s="12"/>
      <c r="AA289" s="12">
        <f t="shared" si="166"/>
        <v>0</v>
      </c>
      <c r="AB289" s="12"/>
      <c r="AC289" s="12">
        <f t="shared" si="167"/>
        <v>0</v>
      </c>
      <c r="AD289" s="42"/>
      <c r="AE289" s="12"/>
    </row>
    <row r="290" spans="1:31" s="46" customFormat="1" ht="21">
      <c r="A290" s="42" t="s">
        <v>0</v>
      </c>
      <c r="B290" s="42" t="s">
        <v>1</v>
      </c>
      <c r="C290" s="45" t="s">
        <v>1776</v>
      </c>
      <c r="D290" s="45" t="s">
        <v>1777</v>
      </c>
      <c r="E290" s="45" t="s">
        <v>907</v>
      </c>
      <c r="F290" s="47" t="s">
        <v>137</v>
      </c>
      <c r="G290" s="42"/>
      <c r="H290" s="42"/>
      <c r="I290" s="44">
        <v>67.4</v>
      </c>
      <c r="J290" s="44">
        <f t="shared" si="162"/>
        <v>67.4</v>
      </c>
      <c r="K290" s="42">
        <v>12000</v>
      </c>
      <c r="L290" s="42">
        <f t="shared" si="168"/>
        <v>808800.0000000001</v>
      </c>
      <c r="M290" s="42"/>
      <c r="N290" s="42" t="s">
        <v>64</v>
      </c>
      <c r="O290" s="104" t="s">
        <v>446</v>
      </c>
      <c r="P290" s="45">
        <v>2</v>
      </c>
      <c r="Q290" s="104">
        <v>60</v>
      </c>
      <c r="R290" s="100"/>
      <c r="S290" s="42">
        <v>6550</v>
      </c>
      <c r="T290" s="12">
        <f t="shared" si="163"/>
        <v>393000</v>
      </c>
      <c r="U290" s="45" t="s">
        <v>314</v>
      </c>
      <c r="V290" s="12">
        <f>+T290*0.1</f>
        <v>39300</v>
      </c>
      <c r="W290" s="12">
        <f t="shared" si="164"/>
        <v>353700</v>
      </c>
      <c r="X290" s="116"/>
      <c r="Y290" s="117">
        <f t="shared" si="165"/>
        <v>1162500</v>
      </c>
      <c r="Z290" s="12">
        <f>+Y290</f>
        <v>1162500</v>
      </c>
      <c r="AA290" s="12">
        <f t="shared" si="166"/>
        <v>0</v>
      </c>
      <c r="AB290" s="12"/>
      <c r="AC290" s="12">
        <f t="shared" si="167"/>
        <v>0</v>
      </c>
      <c r="AD290" s="42" t="s">
        <v>906</v>
      </c>
      <c r="AE290" s="12"/>
    </row>
    <row r="291" spans="1:31" s="46" customFormat="1" ht="21">
      <c r="A291" s="42"/>
      <c r="B291" s="42"/>
      <c r="C291" s="45"/>
      <c r="D291" s="31"/>
      <c r="E291" s="31"/>
      <c r="F291" s="47"/>
      <c r="G291" s="42"/>
      <c r="H291" s="42"/>
      <c r="I291" s="44"/>
      <c r="J291" s="44">
        <f t="shared" si="162"/>
        <v>0</v>
      </c>
      <c r="K291" s="42"/>
      <c r="L291" s="42">
        <f t="shared" si="168"/>
        <v>0</v>
      </c>
      <c r="M291" s="42"/>
      <c r="N291" s="42"/>
      <c r="O291" s="101"/>
      <c r="P291" s="45"/>
      <c r="Q291" s="42"/>
      <c r="R291" s="42"/>
      <c r="S291" s="42"/>
      <c r="T291" s="12">
        <f t="shared" si="163"/>
        <v>0</v>
      </c>
      <c r="U291" s="45"/>
      <c r="V291" s="12">
        <f>+T291*0</f>
        <v>0</v>
      </c>
      <c r="W291" s="12">
        <f t="shared" si="164"/>
        <v>0</v>
      </c>
      <c r="X291" s="12"/>
      <c r="Y291" s="12">
        <f t="shared" si="165"/>
        <v>0</v>
      </c>
      <c r="Z291" s="12"/>
      <c r="AA291" s="12">
        <f t="shared" si="166"/>
        <v>0</v>
      </c>
      <c r="AB291" s="12"/>
      <c r="AC291" s="12">
        <f t="shared" si="167"/>
        <v>0</v>
      </c>
      <c r="AD291" s="42"/>
      <c r="AE291" s="12"/>
    </row>
    <row r="292" spans="1:31" s="46" customFormat="1" ht="21">
      <c r="A292" s="42" t="s">
        <v>0</v>
      </c>
      <c r="B292" s="42" t="s">
        <v>1</v>
      </c>
      <c r="C292" s="45" t="s">
        <v>1778</v>
      </c>
      <c r="D292" s="45" t="s">
        <v>284</v>
      </c>
      <c r="E292" s="10" t="s">
        <v>909</v>
      </c>
      <c r="F292" s="47" t="s">
        <v>177</v>
      </c>
      <c r="G292" s="42"/>
      <c r="H292" s="42">
        <v>3</v>
      </c>
      <c r="I292" s="44">
        <v>19</v>
      </c>
      <c r="J292" s="44">
        <f aca="true" t="shared" si="169" ref="J292:J301">+I292+(H292*100)+(G292*400)</f>
        <v>319</v>
      </c>
      <c r="K292" s="42">
        <v>8000</v>
      </c>
      <c r="L292" s="42">
        <f t="shared" si="168"/>
        <v>2552000</v>
      </c>
      <c r="M292" s="42"/>
      <c r="N292" s="42"/>
      <c r="O292" s="101"/>
      <c r="P292" s="45"/>
      <c r="Q292" s="42"/>
      <c r="R292" s="100"/>
      <c r="S292" s="42"/>
      <c r="T292" s="12">
        <f aca="true" t="shared" si="170" ref="T292:T301">+Q292*S292</f>
        <v>0</v>
      </c>
      <c r="U292" s="45"/>
      <c r="V292" s="12">
        <f aca="true" t="shared" si="171" ref="V292:V301">+T292*0</f>
        <v>0</v>
      </c>
      <c r="W292" s="12">
        <f aca="true" t="shared" si="172" ref="W292:W301">+T292-V292</f>
        <v>0</v>
      </c>
      <c r="X292" s="116"/>
      <c r="Y292" s="117">
        <f>+L292+W292</f>
        <v>2552000</v>
      </c>
      <c r="Z292" s="12">
        <f>+Y292</f>
        <v>2552000</v>
      </c>
      <c r="AA292" s="12">
        <f aca="true" t="shared" si="173" ref="AA292:AA301">+Y292-Z292</f>
        <v>0</v>
      </c>
      <c r="AB292" s="12"/>
      <c r="AC292" s="12">
        <f aca="true" t="shared" si="174" ref="AC292:AC301">+AA292*AB292/100</f>
        <v>0</v>
      </c>
      <c r="AD292" s="42"/>
      <c r="AE292" s="12"/>
    </row>
    <row r="293" spans="1:31" s="46" customFormat="1" ht="21">
      <c r="A293" s="42"/>
      <c r="B293" s="42"/>
      <c r="C293" s="45"/>
      <c r="D293" s="31"/>
      <c r="E293" s="31"/>
      <c r="F293" s="47"/>
      <c r="G293" s="42"/>
      <c r="H293" s="42"/>
      <c r="I293" s="44"/>
      <c r="J293" s="44">
        <f t="shared" si="169"/>
        <v>0</v>
      </c>
      <c r="K293" s="42"/>
      <c r="L293" s="42">
        <f t="shared" si="168"/>
        <v>0</v>
      </c>
      <c r="M293" s="42"/>
      <c r="N293" s="42"/>
      <c r="O293" s="101"/>
      <c r="P293" s="45"/>
      <c r="Q293" s="42"/>
      <c r="R293" s="42"/>
      <c r="S293" s="42"/>
      <c r="T293" s="12">
        <f t="shared" si="170"/>
        <v>0</v>
      </c>
      <c r="U293" s="45"/>
      <c r="V293" s="12">
        <f t="shared" si="171"/>
        <v>0</v>
      </c>
      <c r="W293" s="12">
        <f t="shared" si="172"/>
        <v>0</v>
      </c>
      <c r="X293" s="12"/>
      <c r="Y293" s="12">
        <f>+L293+W293</f>
        <v>0</v>
      </c>
      <c r="Z293" s="12"/>
      <c r="AA293" s="12">
        <f t="shared" si="173"/>
        <v>0</v>
      </c>
      <c r="AB293" s="12"/>
      <c r="AC293" s="12">
        <f t="shared" si="174"/>
        <v>0</v>
      </c>
      <c r="AD293" s="42"/>
      <c r="AE293" s="12"/>
    </row>
    <row r="294" spans="1:31" s="46" customFormat="1" ht="21">
      <c r="A294" s="42"/>
      <c r="B294" s="42"/>
      <c r="C294" s="45"/>
      <c r="D294" s="31"/>
      <c r="E294" s="31"/>
      <c r="F294" s="47"/>
      <c r="G294" s="42"/>
      <c r="H294" s="42"/>
      <c r="I294" s="44"/>
      <c r="J294" s="44">
        <f t="shared" si="169"/>
        <v>0</v>
      </c>
      <c r="K294" s="42"/>
      <c r="L294" s="42">
        <f t="shared" si="168"/>
        <v>0</v>
      </c>
      <c r="M294" s="42"/>
      <c r="N294" s="42"/>
      <c r="O294" s="101"/>
      <c r="P294" s="45"/>
      <c r="Q294" s="42"/>
      <c r="R294" s="42"/>
      <c r="S294" s="42"/>
      <c r="T294" s="12">
        <f t="shared" si="170"/>
        <v>0</v>
      </c>
      <c r="U294" s="45"/>
      <c r="V294" s="12">
        <f t="shared" si="171"/>
        <v>0</v>
      </c>
      <c r="W294" s="12">
        <f t="shared" si="172"/>
        <v>0</v>
      </c>
      <c r="X294" s="12"/>
      <c r="Y294" s="12">
        <f>+L294+W294</f>
        <v>0</v>
      </c>
      <c r="Z294" s="12"/>
      <c r="AA294" s="12">
        <f t="shared" si="173"/>
        <v>0</v>
      </c>
      <c r="AB294" s="12"/>
      <c r="AC294" s="12">
        <f t="shared" si="174"/>
        <v>0</v>
      </c>
      <c r="AD294" s="42"/>
      <c r="AE294" s="12"/>
    </row>
    <row r="295" spans="1:31" s="46" customFormat="1" ht="21">
      <c r="A295" s="42" t="s">
        <v>0</v>
      </c>
      <c r="B295" s="42" t="s">
        <v>1</v>
      </c>
      <c r="C295" s="45" t="s">
        <v>1429</v>
      </c>
      <c r="D295" s="45" t="s">
        <v>286</v>
      </c>
      <c r="E295" s="10" t="s">
        <v>909</v>
      </c>
      <c r="F295" s="47" t="s">
        <v>140</v>
      </c>
      <c r="G295" s="42"/>
      <c r="H295" s="42"/>
      <c r="I295" s="44">
        <v>44.5</v>
      </c>
      <c r="J295" s="44">
        <f>+I295+(H295*100)+(G295*400)</f>
        <v>44.5</v>
      </c>
      <c r="K295" s="42">
        <v>10000</v>
      </c>
      <c r="L295" s="42">
        <f>+K295*J295</f>
        <v>445000</v>
      </c>
      <c r="M295" s="42"/>
      <c r="N295" s="42"/>
      <c r="O295" s="101"/>
      <c r="P295" s="45"/>
      <c r="Q295" s="42"/>
      <c r="R295" s="100"/>
      <c r="S295" s="42"/>
      <c r="T295" s="12">
        <f>+Q295*S295</f>
        <v>0</v>
      </c>
      <c r="U295" s="45"/>
      <c r="V295" s="12">
        <f>+T295*0</f>
        <v>0</v>
      </c>
      <c r="W295" s="12">
        <f>+T295-V295</f>
        <v>0</v>
      </c>
      <c r="X295" s="116"/>
      <c r="Y295" s="117">
        <f aca="true" t="shared" si="175" ref="Y295:Y301">+L295+W295</f>
        <v>445000</v>
      </c>
      <c r="Z295" s="12"/>
      <c r="AA295" s="12">
        <f>+Y295-Z295</f>
        <v>445000</v>
      </c>
      <c r="AB295" s="12">
        <v>0.3</v>
      </c>
      <c r="AC295" s="12">
        <f>+AA295*AB295/100</f>
        <v>1335</v>
      </c>
      <c r="AD295" s="42"/>
      <c r="AE295" s="12"/>
    </row>
    <row r="296" spans="1:31" s="46" customFormat="1" ht="21">
      <c r="A296" s="42" t="s">
        <v>0</v>
      </c>
      <c r="B296" s="42" t="s">
        <v>1</v>
      </c>
      <c r="C296" s="45" t="s">
        <v>1430</v>
      </c>
      <c r="D296" s="45" t="s">
        <v>285</v>
      </c>
      <c r="E296" s="10" t="s">
        <v>909</v>
      </c>
      <c r="F296" s="47" t="s">
        <v>140</v>
      </c>
      <c r="G296" s="42"/>
      <c r="H296" s="42"/>
      <c r="I296" s="44">
        <v>44.6</v>
      </c>
      <c r="J296" s="44">
        <f>+I296+(H296*100)+(G296*400)</f>
        <v>44.6</v>
      </c>
      <c r="K296" s="42">
        <v>10000</v>
      </c>
      <c r="L296" s="42">
        <f>+K296*J296</f>
        <v>446000</v>
      </c>
      <c r="M296" s="42"/>
      <c r="N296" s="42"/>
      <c r="O296" s="101"/>
      <c r="P296" s="45"/>
      <c r="Q296" s="42"/>
      <c r="R296" s="100"/>
      <c r="S296" s="42"/>
      <c r="T296" s="12">
        <f>+Q296*S296</f>
        <v>0</v>
      </c>
      <c r="U296" s="45"/>
      <c r="V296" s="12">
        <f>+T296*0</f>
        <v>0</v>
      </c>
      <c r="W296" s="12">
        <f>+T296-V296</f>
        <v>0</v>
      </c>
      <c r="X296" s="116"/>
      <c r="Y296" s="117">
        <f t="shared" si="175"/>
        <v>446000</v>
      </c>
      <c r="Z296" s="12"/>
      <c r="AA296" s="12">
        <f>+Y296-Z296</f>
        <v>446000</v>
      </c>
      <c r="AB296" s="12">
        <v>0.3</v>
      </c>
      <c r="AC296" s="12">
        <f>+AA296*AB296/100</f>
        <v>1338</v>
      </c>
      <c r="AD296" s="42"/>
      <c r="AE296" s="12"/>
    </row>
    <row r="297" spans="1:31" s="46" customFormat="1" ht="21">
      <c r="A297" s="42" t="s">
        <v>0</v>
      </c>
      <c r="B297" s="42" t="s">
        <v>1</v>
      </c>
      <c r="C297" s="45" t="s">
        <v>1431</v>
      </c>
      <c r="D297" s="45" t="s">
        <v>287</v>
      </c>
      <c r="E297" s="10" t="s">
        <v>909</v>
      </c>
      <c r="F297" s="47" t="s">
        <v>140</v>
      </c>
      <c r="G297" s="42"/>
      <c r="H297" s="42"/>
      <c r="I297" s="44">
        <v>44.7</v>
      </c>
      <c r="J297" s="44">
        <f>+I297+(H297*100)+(G297*400)</f>
        <v>44.7</v>
      </c>
      <c r="K297" s="42">
        <v>8000</v>
      </c>
      <c r="L297" s="42">
        <f>+K297*J297</f>
        <v>357600</v>
      </c>
      <c r="M297" s="42"/>
      <c r="N297" s="42"/>
      <c r="O297" s="101"/>
      <c r="P297" s="45"/>
      <c r="Q297" s="42"/>
      <c r="R297" s="100"/>
      <c r="S297" s="42"/>
      <c r="T297" s="12">
        <f>+Q297*S297</f>
        <v>0</v>
      </c>
      <c r="U297" s="45"/>
      <c r="V297" s="12">
        <f>+T297*0</f>
        <v>0</v>
      </c>
      <c r="W297" s="12">
        <f>+T297-V297</f>
        <v>0</v>
      </c>
      <c r="X297" s="116"/>
      <c r="Y297" s="117">
        <f t="shared" si="175"/>
        <v>357600</v>
      </c>
      <c r="Z297" s="12"/>
      <c r="AA297" s="12">
        <f>+Y297-Z297</f>
        <v>357600</v>
      </c>
      <c r="AB297" s="12">
        <v>0.3</v>
      </c>
      <c r="AC297" s="12">
        <f>+AA297*AB297/100</f>
        <v>1072.8</v>
      </c>
      <c r="AD297" s="42"/>
      <c r="AE297" s="12"/>
    </row>
    <row r="298" spans="1:31" s="46" customFormat="1" ht="21">
      <c r="A298" s="42" t="s">
        <v>0</v>
      </c>
      <c r="B298" s="42" t="s">
        <v>1</v>
      </c>
      <c r="C298" s="45" t="s">
        <v>1432</v>
      </c>
      <c r="D298" s="45" t="s">
        <v>288</v>
      </c>
      <c r="E298" s="10" t="s">
        <v>909</v>
      </c>
      <c r="F298" s="47" t="s">
        <v>140</v>
      </c>
      <c r="G298" s="42"/>
      <c r="H298" s="42"/>
      <c r="I298" s="44">
        <v>44.5</v>
      </c>
      <c r="J298" s="44">
        <f>+I298+(H298*100)+(G298*400)</f>
        <v>44.5</v>
      </c>
      <c r="K298" s="42">
        <v>10000</v>
      </c>
      <c r="L298" s="42">
        <f>+K298*J298</f>
        <v>445000</v>
      </c>
      <c r="M298" s="42"/>
      <c r="N298" s="42"/>
      <c r="O298" s="101"/>
      <c r="P298" s="45"/>
      <c r="Q298" s="42"/>
      <c r="R298" s="100"/>
      <c r="S298" s="42"/>
      <c r="T298" s="12">
        <f>+Q298*S298</f>
        <v>0</v>
      </c>
      <c r="U298" s="45"/>
      <c r="V298" s="12">
        <f>+T298*0</f>
        <v>0</v>
      </c>
      <c r="W298" s="12">
        <f>+T298-V298</f>
        <v>0</v>
      </c>
      <c r="X298" s="116"/>
      <c r="Y298" s="117">
        <f t="shared" si="175"/>
        <v>445000</v>
      </c>
      <c r="Z298" s="12"/>
      <c r="AA298" s="12">
        <f>+Y298-Z298</f>
        <v>445000</v>
      </c>
      <c r="AB298" s="12">
        <v>0.3</v>
      </c>
      <c r="AC298" s="12">
        <f>+AA298*AB298/100</f>
        <v>1335</v>
      </c>
      <c r="AD298" s="42"/>
      <c r="AE298" s="12"/>
    </row>
    <row r="299" spans="1:31" s="46" customFormat="1" ht="21">
      <c r="A299" s="42" t="s">
        <v>0</v>
      </c>
      <c r="B299" s="42" t="s">
        <v>1</v>
      </c>
      <c r="C299" s="45" t="s">
        <v>1433</v>
      </c>
      <c r="D299" s="45" t="s">
        <v>289</v>
      </c>
      <c r="E299" s="10" t="s">
        <v>909</v>
      </c>
      <c r="F299" s="47" t="s">
        <v>140</v>
      </c>
      <c r="G299" s="42"/>
      <c r="H299" s="42"/>
      <c r="I299" s="44">
        <v>44.2</v>
      </c>
      <c r="J299" s="44">
        <f>+I299+(H299*100)+(G299*400)</f>
        <v>44.2</v>
      </c>
      <c r="K299" s="42">
        <v>10000</v>
      </c>
      <c r="L299" s="42">
        <f>+K299*J299</f>
        <v>442000</v>
      </c>
      <c r="M299" s="42"/>
      <c r="N299" s="42"/>
      <c r="O299" s="101"/>
      <c r="P299" s="45"/>
      <c r="Q299" s="42"/>
      <c r="R299" s="100"/>
      <c r="S299" s="42"/>
      <c r="T299" s="12">
        <f>+Q299*S299</f>
        <v>0</v>
      </c>
      <c r="U299" s="45"/>
      <c r="V299" s="12">
        <f>+T299*0</f>
        <v>0</v>
      </c>
      <c r="W299" s="12">
        <f>+T299-V299</f>
        <v>0</v>
      </c>
      <c r="X299" s="116"/>
      <c r="Y299" s="117">
        <f t="shared" si="175"/>
        <v>442000</v>
      </c>
      <c r="Z299" s="12"/>
      <c r="AA299" s="12">
        <f>+Y299-Z299</f>
        <v>442000</v>
      </c>
      <c r="AB299" s="12">
        <v>0.3</v>
      </c>
      <c r="AC299" s="12">
        <f>+AA299*AB299/100</f>
        <v>1326</v>
      </c>
      <c r="AD299" s="42"/>
      <c r="AE299" s="12"/>
    </row>
    <row r="300" spans="1:31" s="46" customFormat="1" ht="21">
      <c r="A300" s="42" t="s">
        <v>0</v>
      </c>
      <c r="B300" s="42" t="s">
        <v>1</v>
      </c>
      <c r="C300" s="45" t="s">
        <v>1434</v>
      </c>
      <c r="D300" s="45" t="s">
        <v>290</v>
      </c>
      <c r="E300" s="10" t="s">
        <v>909</v>
      </c>
      <c r="F300" s="47" t="s">
        <v>140</v>
      </c>
      <c r="G300" s="42"/>
      <c r="H300" s="42"/>
      <c r="I300" s="44">
        <v>44</v>
      </c>
      <c r="J300" s="44">
        <f t="shared" si="169"/>
        <v>44</v>
      </c>
      <c r="K300" s="42">
        <v>10000</v>
      </c>
      <c r="L300" s="42">
        <f aca="true" t="shared" si="176" ref="L300:L309">+K300*J300</f>
        <v>440000</v>
      </c>
      <c r="M300" s="42"/>
      <c r="N300" s="42"/>
      <c r="O300" s="101"/>
      <c r="P300" s="45"/>
      <c r="Q300" s="42"/>
      <c r="R300" s="100"/>
      <c r="S300" s="42"/>
      <c r="T300" s="12">
        <f t="shared" si="170"/>
        <v>0</v>
      </c>
      <c r="U300" s="45"/>
      <c r="V300" s="12">
        <f t="shared" si="171"/>
        <v>0</v>
      </c>
      <c r="W300" s="12">
        <f t="shared" si="172"/>
        <v>0</v>
      </c>
      <c r="X300" s="116"/>
      <c r="Y300" s="117">
        <f t="shared" si="175"/>
        <v>440000</v>
      </c>
      <c r="Z300" s="12"/>
      <c r="AA300" s="12">
        <f t="shared" si="173"/>
        <v>440000</v>
      </c>
      <c r="AB300" s="12">
        <v>0.3</v>
      </c>
      <c r="AC300" s="12">
        <f t="shared" si="174"/>
        <v>1320</v>
      </c>
      <c r="AD300" s="42"/>
      <c r="AE300" s="12"/>
    </row>
    <row r="301" spans="1:31" s="46" customFormat="1" ht="21">
      <c r="A301" s="42"/>
      <c r="B301" s="42"/>
      <c r="C301" s="45"/>
      <c r="D301" s="31"/>
      <c r="E301" s="31"/>
      <c r="F301" s="47"/>
      <c r="G301" s="42"/>
      <c r="H301" s="42"/>
      <c r="I301" s="44"/>
      <c r="J301" s="44">
        <f t="shared" si="169"/>
        <v>0</v>
      </c>
      <c r="K301" s="42"/>
      <c r="L301" s="42">
        <f t="shared" si="176"/>
        <v>0</v>
      </c>
      <c r="M301" s="42"/>
      <c r="N301" s="42"/>
      <c r="O301" s="101"/>
      <c r="P301" s="45"/>
      <c r="Q301" s="42"/>
      <c r="R301" s="42"/>
      <c r="S301" s="42"/>
      <c r="T301" s="12">
        <f t="shared" si="170"/>
        <v>0</v>
      </c>
      <c r="U301" s="45"/>
      <c r="V301" s="12">
        <f t="shared" si="171"/>
        <v>0</v>
      </c>
      <c r="W301" s="12">
        <f t="shared" si="172"/>
        <v>0</v>
      </c>
      <c r="X301" s="12"/>
      <c r="Y301" s="12">
        <f t="shared" si="175"/>
        <v>0</v>
      </c>
      <c r="Z301" s="12"/>
      <c r="AA301" s="12">
        <f t="shared" si="173"/>
        <v>0</v>
      </c>
      <c r="AB301" s="12"/>
      <c r="AC301" s="12">
        <f t="shared" si="174"/>
        <v>0</v>
      </c>
      <c r="AD301" s="42"/>
      <c r="AE301" s="12"/>
    </row>
    <row r="302" spans="1:31" s="46" customFormat="1" ht="21">
      <c r="A302" s="42" t="s">
        <v>0</v>
      </c>
      <c r="B302" s="42" t="s">
        <v>1</v>
      </c>
      <c r="C302" s="45" t="s">
        <v>1435</v>
      </c>
      <c r="D302" s="45" t="s">
        <v>291</v>
      </c>
      <c r="E302" s="29" t="s">
        <v>907</v>
      </c>
      <c r="F302" s="47" t="s">
        <v>143</v>
      </c>
      <c r="G302" s="42"/>
      <c r="H302" s="42"/>
      <c r="I302" s="44">
        <v>48.8</v>
      </c>
      <c r="J302" s="44">
        <f aca="true" t="shared" si="177" ref="J302:J309">+I302+(H302*100)+(G302*400)</f>
        <v>48.8</v>
      </c>
      <c r="K302" s="42">
        <v>40000</v>
      </c>
      <c r="L302" s="42">
        <f t="shared" si="176"/>
        <v>1952000</v>
      </c>
      <c r="M302" s="42"/>
      <c r="N302" s="42" t="s">
        <v>1006</v>
      </c>
      <c r="O302" s="101"/>
      <c r="P302" s="45"/>
      <c r="Q302" s="42"/>
      <c r="R302" s="100"/>
      <c r="S302" s="42"/>
      <c r="T302" s="12">
        <f aca="true" t="shared" si="178" ref="T302:T309">+Q302*S302</f>
        <v>0</v>
      </c>
      <c r="U302" s="45"/>
      <c r="V302" s="12">
        <f>+T302*0</f>
        <v>0</v>
      </c>
      <c r="W302" s="12">
        <f aca="true" t="shared" si="179" ref="W302:W309">+T302-V302</f>
        <v>0</v>
      </c>
      <c r="X302" s="116"/>
      <c r="Y302" s="117">
        <f aca="true" t="shared" si="180" ref="Y302:Y310">+L302+W302</f>
        <v>1952000</v>
      </c>
      <c r="Z302" s="12"/>
      <c r="AA302" s="12">
        <f aca="true" t="shared" si="181" ref="AA302:AA309">+Y302-Z302</f>
        <v>1952000</v>
      </c>
      <c r="AB302" s="12">
        <v>0.3</v>
      </c>
      <c r="AC302" s="12">
        <f aca="true" t="shared" si="182" ref="AC302:AC309">+AA302*AB302/100</f>
        <v>5856</v>
      </c>
      <c r="AD302" s="42"/>
      <c r="AE302" s="12"/>
    </row>
    <row r="303" spans="1:31" s="46" customFormat="1" ht="21">
      <c r="A303" s="42" t="s">
        <v>0</v>
      </c>
      <c r="B303" s="42" t="s">
        <v>1</v>
      </c>
      <c r="C303" s="45" t="s">
        <v>1436</v>
      </c>
      <c r="D303" s="45" t="s">
        <v>292</v>
      </c>
      <c r="E303" s="29" t="s">
        <v>907</v>
      </c>
      <c r="F303" s="47" t="s">
        <v>137</v>
      </c>
      <c r="G303" s="42"/>
      <c r="H303" s="42">
        <v>2</v>
      </c>
      <c r="I303" s="44">
        <v>19.7</v>
      </c>
      <c r="J303" s="44">
        <f t="shared" si="177"/>
        <v>219.7</v>
      </c>
      <c r="K303" s="42">
        <v>30000</v>
      </c>
      <c r="L303" s="42">
        <f t="shared" si="176"/>
        <v>6591000</v>
      </c>
      <c r="M303" s="42"/>
      <c r="N303" s="42" t="s">
        <v>64</v>
      </c>
      <c r="O303" s="101" t="s">
        <v>446</v>
      </c>
      <c r="P303" s="45">
        <v>2</v>
      </c>
      <c r="Q303" s="100">
        <v>90</v>
      </c>
      <c r="R303" s="100"/>
      <c r="S303" s="42">
        <v>6550</v>
      </c>
      <c r="T303" s="12">
        <f t="shared" si="178"/>
        <v>589500</v>
      </c>
      <c r="U303" s="102" t="s">
        <v>98</v>
      </c>
      <c r="V303" s="12">
        <f>+T303*0.54</f>
        <v>318330</v>
      </c>
      <c r="W303" s="12">
        <f t="shared" si="179"/>
        <v>271170</v>
      </c>
      <c r="X303" s="116"/>
      <c r="Y303" s="117">
        <f t="shared" si="180"/>
        <v>6862170</v>
      </c>
      <c r="Z303" s="12">
        <f>+Y303</f>
        <v>6862170</v>
      </c>
      <c r="AA303" s="12">
        <f t="shared" si="181"/>
        <v>0</v>
      </c>
      <c r="AB303" s="12"/>
      <c r="AC303" s="12">
        <f t="shared" si="182"/>
        <v>0</v>
      </c>
      <c r="AD303" s="42" t="s">
        <v>906</v>
      </c>
      <c r="AE303" s="50"/>
    </row>
    <row r="304" spans="1:31" s="46" customFormat="1" ht="21">
      <c r="A304" s="42"/>
      <c r="B304" s="42"/>
      <c r="C304" s="45"/>
      <c r="D304" s="31"/>
      <c r="E304" s="31"/>
      <c r="F304" s="47"/>
      <c r="G304" s="42"/>
      <c r="H304" s="42"/>
      <c r="I304" s="44"/>
      <c r="J304" s="44">
        <f t="shared" si="177"/>
        <v>0</v>
      </c>
      <c r="K304" s="42"/>
      <c r="L304" s="42">
        <f t="shared" si="176"/>
        <v>0</v>
      </c>
      <c r="M304" s="42"/>
      <c r="N304" s="42"/>
      <c r="O304" s="101"/>
      <c r="P304" s="45"/>
      <c r="Q304" s="42"/>
      <c r="R304" s="42"/>
      <c r="S304" s="42"/>
      <c r="T304" s="12">
        <f t="shared" si="178"/>
        <v>0</v>
      </c>
      <c r="U304" s="45"/>
      <c r="V304" s="12">
        <f>+T304*0</f>
        <v>0</v>
      </c>
      <c r="W304" s="12">
        <f t="shared" si="179"/>
        <v>0</v>
      </c>
      <c r="X304" s="12"/>
      <c r="Y304" s="12">
        <f t="shared" si="180"/>
        <v>0</v>
      </c>
      <c r="Z304" s="12"/>
      <c r="AA304" s="12">
        <f t="shared" si="181"/>
        <v>0</v>
      </c>
      <c r="AB304" s="12"/>
      <c r="AC304" s="12">
        <f t="shared" si="182"/>
        <v>0</v>
      </c>
      <c r="AD304" s="42"/>
      <c r="AE304" s="12"/>
    </row>
    <row r="305" spans="1:31" s="46" customFormat="1" ht="21">
      <c r="A305" s="42"/>
      <c r="B305" s="42"/>
      <c r="C305" s="45"/>
      <c r="D305" s="31"/>
      <c r="E305" s="31"/>
      <c r="F305" s="47"/>
      <c r="G305" s="42"/>
      <c r="H305" s="42"/>
      <c r="I305" s="44"/>
      <c r="J305" s="44">
        <f t="shared" si="177"/>
        <v>0</v>
      </c>
      <c r="K305" s="42"/>
      <c r="L305" s="42">
        <f t="shared" si="176"/>
        <v>0</v>
      </c>
      <c r="M305" s="42"/>
      <c r="N305" s="42"/>
      <c r="O305" s="101"/>
      <c r="P305" s="45"/>
      <c r="Q305" s="42"/>
      <c r="R305" s="42"/>
      <c r="S305" s="42"/>
      <c r="T305" s="12">
        <f t="shared" si="178"/>
        <v>0</v>
      </c>
      <c r="U305" s="45"/>
      <c r="V305" s="12">
        <f>+T305*0</f>
        <v>0</v>
      </c>
      <c r="W305" s="12">
        <f t="shared" si="179"/>
        <v>0</v>
      </c>
      <c r="X305" s="12"/>
      <c r="Y305" s="12">
        <f t="shared" si="180"/>
        <v>0</v>
      </c>
      <c r="Z305" s="12"/>
      <c r="AA305" s="12">
        <f t="shared" si="181"/>
        <v>0</v>
      </c>
      <c r="AB305" s="12"/>
      <c r="AC305" s="12">
        <f t="shared" si="182"/>
        <v>0</v>
      </c>
      <c r="AD305" s="42"/>
      <c r="AE305" s="12"/>
    </row>
    <row r="306" spans="1:31" s="46" customFormat="1" ht="21">
      <c r="A306" s="42" t="s">
        <v>0</v>
      </c>
      <c r="B306" s="42" t="s">
        <v>1</v>
      </c>
      <c r="C306" s="45" t="s">
        <v>1437</v>
      </c>
      <c r="D306" s="45" t="s">
        <v>293</v>
      </c>
      <c r="E306" s="30" t="s">
        <v>908</v>
      </c>
      <c r="F306" s="47" t="s">
        <v>137</v>
      </c>
      <c r="G306" s="42"/>
      <c r="H306" s="42"/>
      <c r="I306" s="44">
        <v>28.2</v>
      </c>
      <c r="J306" s="44">
        <f t="shared" si="177"/>
        <v>28.2</v>
      </c>
      <c r="K306" s="42">
        <v>10000</v>
      </c>
      <c r="L306" s="42">
        <f t="shared" si="176"/>
        <v>282000</v>
      </c>
      <c r="M306" s="42"/>
      <c r="N306" s="42" t="s">
        <v>64</v>
      </c>
      <c r="O306" s="101" t="s">
        <v>446</v>
      </c>
      <c r="P306" s="45">
        <v>2</v>
      </c>
      <c r="Q306" s="100">
        <v>96</v>
      </c>
      <c r="R306" s="100"/>
      <c r="S306" s="42">
        <v>6550</v>
      </c>
      <c r="T306" s="12">
        <f t="shared" si="178"/>
        <v>628800</v>
      </c>
      <c r="U306" s="102" t="s">
        <v>89</v>
      </c>
      <c r="V306" s="12">
        <f>+T306*0.34</f>
        <v>213792.00000000003</v>
      </c>
      <c r="W306" s="12">
        <f t="shared" si="179"/>
        <v>415008</v>
      </c>
      <c r="X306" s="116"/>
      <c r="Y306" s="117">
        <f t="shared" si="180"/>
        <v>697008</v>
      </c>
      <c r="Z306" s="12"/>
      <c r="AA306" s="12">
        <f t="shared" si="181"/>
        <v>697008</v>
      </c>
      <c r="AB306" s="12">
        <v>0.02</v>
      </c>
      <c r="AC306" s="12">
        <f t="shared" si="182"/>
        <v>139.4016</v>
      </c>
      <c r="AD306" s="42"/>
      <c r="AE306" s="12"/>
    </row>
    <row r="307" spans="1:31" s="46" customFormat="1" ht="21">
      <c r="A307" s="42" t="s">
        <v>0</v>
      </c>
      <c r="B307" s="42" t="s">
        <v>1</v>
      </c>
      <c r="C307" s="45" t="s">
        <v>1438</v>
      </c>
      <c r="D307" s="45" t="s">
        <v>294</v>
      </c>
      <c r="E307" s="30" t="s">
        <v>908</v>
      </c>
      <c r="F307" s="47" t="s">
        <v>137</v>
      </c>
      <c r="G307" s="42"/>
      <c r="H307" s="42"/>
      <c r="I307" s="44">
        <v>30.5</v>
      </c>
      <c r="J307" s="44">
        <f t="shared" si="177"/>
        <v>30.5</v>
      </c>
      <c r="K307" s="42">
        <v>10000</v>
      </c>
      <c r="L307" s="42">
        <f t="shared" si="176"/>
        <v>305000</v>
      </c>
      <c r="M307" s="42"/>
      <c r="N307" s="42" t="s">
        <v>64</v>
      </c>
      <c r="O307" s="101" t="s">
        <v>446</v>
      </c>
      <c r="P307" s="45">
        <v>2</v>
      </c>
      <c r="Q307" s="100">
        <v>64</v>
      </c>
      <c r="R307" s="100"/>
      <c r="S307" s="42">
        <v>6550</v>
      </c>
      <c r="T307" s="12">
        <f t="shared" si="178"/>
        <v>419200</v>
      </c>
      <c r="U307" s="102" t="s">
        <v>89</v>
      </c>
      <c r="V307" s="12">
        <f>+T307*0.34</f>
        <v>142528</v>
      </c>
      <c r="W307" s="12">
        <f t="shared" si="179"/>
        <v>276672</v>
      </c>
      <c r="X307" s="116"/>
      <c r="Y307" s="117">
        <f t="shared" si="180"/>
        <v>581672</v>
      </c>
      <c r="Z307" s="12">
        <f>+Y307</f>
        <v>581672</v>
      </c>
      <c r="AA307" s="12">
        <f t="shared" si="181"/>
        <v>0</v>
      </c>
      <c r="AB307" s="12"/>
      <c r="AC307" s="12">
        <f t="shared" si="182"/>
        <v>0</v>
      </c>
      <c r="AD307" s="42" t="s">
        <v>906</v>
      </c>
      <c r="AE307" s="12"/>
    </row>
    <row r="308" spans="1:31" s="46" customFormat="1" ht="21">
      <c r="A308" s="42"/>
      <c r="B308" s="42"/>
      <c r="C308" s="45"/>
      <c r="D308" s="31"/>
      <c r="E308" s="31"/>
      <c r="F308" s="47"/>
      <c r="G308" s="42"/>
      <c r="H308" s="42"/>
      <c r="I308" s="44"/>
      <c r="J308" s="44">
        <f t="shared" si="177"/>
        <v>0</v>
      </c>
      <c r="K308" s="42"/>
      <c r="L308" s="42">
        <f t="shared" si="176"/>
        <v>0</v>
      </c>
      <c r="M308" s="42"/>
      <c r="N308" s="42"/>
      <c r="O308" s="101"/>
      <c r="P308" s="45"/>
      <c r="Q308" s="42"/>
      <c r="R308" s="42"/>
      <c r="S308" s="42"/>
      <c r="T308" s="12">
        <f t="shared" si="178"/>
        <v>0</v>
      </c>
      <c r="U308" s="45"/>
      <c r="V308" s="12">
        <f>+T308*0</f>
        <v>0</v>
      </c>
      <c r="W308" s="12">
        <f t="shared" si="179"/>
        <v>0</v>
      </c>
      <c r="X308" s="12"/>
      <c r="Y308" s="12">
        <f t="shared" si="180"/>
        <v>0</v>
      </c>
      <c r="Z308" s="12"/>
      <c r="AA308" s="12">
        <f t="shared" si="181"/>
        <v>0</v>
      </c>
      <c r="AB308" s="12"/>
      <c r="AC308" s="12">
        <f t="shared" si="182"/>
        <v>0</v>
      </c>
      <c r="AD308" s="42"/>
      <c r="AE308" s="12"/>
    </row>
    <row r="309" spans="1:31" s="46" customFormat="1" ht="21">
      <c r="A309" s="42"/>
      <c r="B309" s="42"/>
      <c r="C309" s="45"/>
      <c r="D309" s="31"/>
      <c r="E309" s="31"/>
      <c r="F309" s="47"/>
      <c r="G309" s="42"/>
      <c r="H309" s="42"/>
      <c r="I309" s="44"/>
      <c r="J309" s="44">
        <f t="shared" si="177"/>
        <v>0</v>
      </c>
      <c r="K309" s="42"/>
      <c r="L309" s="42">
        <f t="shared" si="176"/>
        <v>0</v>
      </c>
      <c r="M309" s="42"/>
      <c r="N309" s="42"/>
      <c r="O309" s="101"/>
      <c r="P309" s="45"/>
      <c r="Q309" s="42"/>
      <c r="R309" s="42"/>
      <c r="S309" s="42"/>
      <c r="T309" s="12">
        <f t="shared" si="178"/>
        <v>0</v>
      </c>
      <c r="U309" s="45"/>
      <c r="V309" s="12">
        <f>+T309*0</f>
        <v>0</v>
      </c>
      <c r="W309" s="12">
        <f t="shared" si="179"/>
        <v>0</v>
      </c>
      <c r="X309" s="12"/>
      <c r="Y309" s="12">
        <f t="shared" si="180"/>
        <v>0</v>
      </c>
      <c r="Z309" s="12"/>
      <c r="AA309" s="12">
        <f t="shared" si="181"/>
        <v>0</v>
      </c>
      <c r="AB309" s="12"/>
      <c r="AC309" s="12">
        <f t="shared" si="182"/>
        <v>0</v>
      </c>
      <c r="AD309" s="42"/>
      <c r="AE309" s="12"/>
    </row>
    <row r="310" spans="1:31" s="46" customFormat="1" ht="21">
      <c r="A310" s="42" t="s">
        <v>0</v>
      </c>
      <c r="B310" s="42" t="s">
        <v>1</v>
      </c>
      <c r="C310" s="45" t="s">
        <v>1439</v>
      </c>
      <c r="D310" s="51" t="s">
        <v>295</v>
      </c>
      <c r="E310" s="29" t="s">
        <v>907</v>
      </c>
      <c r="F310" s="47" t="s">
        <v>137</v>
      </c>
      <c r="G310" s="42"/>
      <c r="H310" s="42">
        <v>1</v>
      </c>
      <c r="I310" s="44">
        <v>31.2</v>
      </c>
      <c r="J310" s="44">
        <f aca="true" t="shared" si="183" ref="J310:J316">+I310+(H310*100)+(G310*400)</f>
        <v>131.2</v>
      </c>
      <c r="K310" s="42">
        <v>5200</v>
      </c>
      <c r="L310" s="42">
        <f aca="true" t="shared" si="184" ref="L310:L338">+K310*J310</f>
        <v>682239.9999999999</v>
      </c>
      <c r="M310" s="42"/>
      <c r="N310" s="42" t="s">
        <v>60</v>
      </c>
      <c r="O310" s="101" t="s">
        <v>446</v>
      </c>
      <c r="P310" s="45">
        <v>2</v>
      </c>
      <c r="Q310" s="100">
        <v>156</v>
      </c>
      <c r="R310" s="100"/>
      <c r="S310" s="42">
        <v>7550</v>
      </c>
      <c r="T310" s="12">
        <f aca="true" t="shared" si="185" ref="T310:T316">+Q310*S310</f>
        <v>1177800</v>
      </c>
      <c r="U310" s="102" t="s">
        <v>104</v>
      </c>
      <c r="V310" s="12">
        <f aca="true" t="shared" si="186" ref="V310:V316">+T310*0.68</f>
        <v>800904</v>
      </c>
      <c r="W310" s="12">
        <f aca="true" t="shared" si="187" ref="W310:W316">+T310-V310</f>
        <v>376896</v>
      </c>
      <c r="X310" s="116"/>
      <c r="Y310" s="117">
        <f t="shared" si="180"/>
        <v>1059136</v>
      </c>
      <c r="Z310" s="12">
        <f>+Y310</f>
        <v>1059136</v>
      </c>
      <c r="AA310" s="12">
        <f aca="true" t="shared" si="188" ref="AA310:AA316">+Y310-Z310</f>
        <v>0</v>
      </c>
      <c r="AB310" s="12"/>
      <c r="AC310" s="12">
        <f aca="true" t="shared" si="189" ref="AC310:AC316">+AA310*AB310/100</f>
        <v>0</v>
      </c>
      <c r="AD310" s="42" t="s">
        <v>906</v>
      </c>
      <c r="AE310" s="12"/>
    </row>
    <row r="311" spans="1:31" s="46" customFormat="1" ht="21">
      <c r="A311" s="42" t="s">
        <v>0</v>
      </c>
      <c r="B311" s="42" t="s">
        <v>1</v>
      </c>
      <c r="C311" s="45" t="s">
        <v>1440</v>
      </c>
      <c r="D311" s="45" t="s">
        <v>296</v>
      </c>
      <c r="E311" s="29" t="s">
        <v>907</v>
      </c>
      <c r="F311" s="47" t="s">
        <v>167</v>
      </c>
      <c r="G311" s="42"/>
      <c r="H311" s="42"/>
      <c r="I311" s="44">
        <v>18.6</v>
      </c>
      <c r="J311" s="44">
        <f t="shared" si="183"/>
        <v>18.6</v>
      </c>
      <c r="K311" s="42">
        <v>80000</v>
      </c>
      <c r="L311" s="42">
        <f t="shared" si="184"/>
        <v>1488000</v>
      </c>
      <c r="M311" s="42">
        <v>1</v>
      </c>
      <c r="N311" s="42" t="s">
        <v>60</v>
      </c>
      <c r="O311" s="101" t="s">
        <v>446</v>
      </c>
      <c r="P311" s="45">
        <v>3</v>
      </c>
      <c r="Q311" s="100">
        <v>60</v>
      </c>
      <c r="R311" s="100">
        <f>+Q311*100/(Q311+Q312)</f>
        <v>50</v>
      </c>
      <c r="S311" s="42">
        <v>7550</v>
      </c>
      <c r="T311" s="12">
        <f t="shared" si="185"/>
        <v>453000</v>
      </c>
      <c r="U311" s="102" t="s">
        <v>104</v>
      </c>
      <c r="V311" s="12">
        <f t="shared" si="186"/>
        <v>308040</v>
      </c>
      <c r="W311" s="12">
        <f t="shared" si="187"/>
        <v>144960</v>
      </c>
      <c r="X311" s="116"/>
      <c r="Y311" s="117">
        <f>+L311*(R311/100)+W311</f>
        <v>888960</v>
      </c>
      <c r="Z311" s="12"/>
      <c r="AA311" s="12">
        <f t="shared" si="188"/>
        <v>888960</v>
      </c>
      <c r="AB311" s="12">
        <v>0.3</v>
      </c>
      <c r="AC311" s="12">
        <f t="shared" si="189"/>
        <v>2666.88</v>
      </c>
      <c r="AD311" s="42"/>
      <c r="AE311" s="12"/>
    </row>
    <row r="312" spans="1:31" s="46" customFormat="1" ht="21">
      <c r="A312" s="42" t="s">
        <v>0</v>
      </c>
      <c r="B312" s="42"/>
      <c r="C312" s="45"/>
      <c r="D312" s="45"/>
      <c r="E312" s="29"/>
      <c r="F312" s="47"/>
      <c r="G312" s="42"/>
      <c r="H312" s="42"/>
      <c r="I312" s="44"/>
      <c r="J312" s="44">
        <f t="shared" si="183"/>
        <v>0</v>
      </c>
      <c r="K312" s="42"/>
      <c r="L312" s="42">
        <f t="shared" si="184"/>
        <v>0</v>
      </c>
      <c r="M312" s="42">
        <v>2</v>
      </c>
      <c r="N312" s="42" t="s">
        <v>60</v>
      </c>
      <c r="O312" s="101" t="s">
        <v>446</v>
      </c>
      <c r="P312" s="45">
        <v>2</v>
      </c>
      <c r="Q312" s="100">
        <v>60</v>
      </c>
      <c r="R312" s="100">
        <f>+Q312*100/(Q311+Q312)</f>
        <v>50</v>
      </c>
      <c r="S312" s="42">
        <v>7550</v>
      </c>
      <c r="T312" s="12">
        <f t="shared" si="185"/>
        <v>453000</v>
      </c>
      <c r="U312" s="102" t="s">
        <v>104</v>
      </c>
      <c r="V312" s="12">
        <f t="shared" si="186"/>
        <v>308040</v>
      </c>
      <c r="W312" s="12">
        <f t="shared" si="187"/>
        <v>144960</v>
      </c>
      <c r="X312" s="116"/>
      <c r="Y312" s="117">
        <f>+L311*(R312/100)+W312</f>
        <v>888960</v>
      </c>
      <c r="Z312" s="12"/>
      <c r="AA312" s="12">
        <f t="shared" si="188"/>
        <v>888960</v>
      </c>
      <c r="AB312" s="12">
        <v>0.02</v>
      </c>
      <c r="AC312" s="12">
        <f t="shared" si="189"/>
        <v>177.792</v>
      </c>
      <c r="AD312" s="42"/>
      <c r="AE312" s="12"/>
    </row>
    <row r="313" spans="1:31" s="46" customFormat="1" ht="21">
      <c r="A313" s="42" t="s">
        <v>0</v>
      </c>
      <c r="B313" s="42" t="s">
        <v>1</v>
      </c>
      <c r="C313" s="45" t="s">
        <v>1441</v>
      </c>
      <c r="D313" s="45" t="s">
        <v>297</v>
      </c>
      <c r="E313" s="29" t="s">
        <v>907</v>
      </c>
      <c r="F313" s="47" t="s">
        <v>143</v>
      </c>
      <c r="G313" s="42"/>
      <c r="H313" s="42"/>
      <c r="I313" s="44">
        <v>35.9</v>
      </c>
      <c r="J313" s="44">
        <f t="shared" si="183"/>
        <v>35.9</v>
      </c>
      <c r="K313" s="42">
        <v>80000</v>
      </c>
      <c r="L313" s="42">
        <f t="shared" si="184"/>
        <v>2872000</v>
      </c>
      <c r="M313" s="42"/>
      <c r="N313" s="42" t="s">
        <v>184</v>
      </c>
      <c r="O313" s="101" t="s">
        <v>446</v>
      </c>
      <c r="P313" s="45">
        <v>3</v>
      </c>
      <c r="Q313" s="100">
        <f>64*2</f>
        <v>128</v>
      </c>
      <c r="R313" s="100"/>
      <c r="S313" s="42">
        <v>7550</v>
      </c>
      <c r="T313" s="12">
        <f t="shared" si="185"/>
        <v>966400</v>
      </c>
      <c r="U313" s="102" t="s">
        <v>104</v>
      </c>
      <c r="V313" s="12">
        <f t="shared" si="186"/>
        <v>657152</v>
      </c>
      <c r="W313" s="12">
        <f t="shared" si="187"/>
        <v>309248</v>
      </c>
      <c r="X313" s="116"/>
      <c r="Y313" s="117">
        <f>+L313+W313</f>
        <v>3181248</v>
      </c>
      <c r="Z313" s="12"/>
      <c r="AA313" s="12">
        <f t="shared" si="188"/>
        <v>3181248</v>
      </c>
      <c r="AB313" s="12">
        <v>0.3</v>
      </c>
      <c r="AC313" s="12">
        <f t="shared" si="189"/>
        <v>9543.743999999999</v>
      </c>
      <c r="AD313" s="42"/>
      <c r="AE313" s="12"/>
    </row>
    <row r="314" spans="1:31" s="46" customFormat="1" ht="21">
      <c r="A314" s="42" t="s">
        <v>0</v>
      </c>
      <c r="B314" s="42" t="s">
        <v>1</v>
      </c>
      <c r="C314" s="45" t="s">
        <v>1442</v>
      </c>
      <c r="D314" s="45" t="s">
        <v>298</v>
      </c>
      <c r="E314" s="29" t="s">
        <v>907</v>
      </c>
      <c r="F314" s="47" t="s">
        <v>143</v>
      </c>
      <c r="G314" s="42"/>
      <c r="H314" s="42"/>
      <c r="I314" s="44">
        <v>36.9</v>
      </c>
      <c r="J314" s="44">
        <f t="shared" si="183"/>
        <v>36.9</v>
      </c>
      <c r="K314" s="42">
        <v>80000</v>
      </c>
      <c r="L314" s="42">
        <f t="shared" si="184"/>
        <v>2952000</v>
      </c>
      <c r="M314" s="42"/>
      <c r="N314" s="42" t="s">
        <v>184</v>
      </c>
      <c r="O314" s="101" t="s">
        <v>446</v>
      </c>
      <c r="P314" s="45">
        <v>3</v>
      </c>
      <c r="Q314" s="100">
        <v>240</v>
      </c>
      <c r="R314" s="100"/>
      <c r="S314" s="42">
        <v>7550</v>
      </c>
      <c r="T314" s="12">
        <f t="shared" si="185"/>
        <v>1812000</v>
      </c>
      <c r="U314" s="102" t="s">
        <v>104</v>
      </c>
      <c r="V314" s="12">
        <f t="shared" si="186"/>
        <v>1232160</v>
      </c>
      <c r="W314" s="12">
        <f t="shared" si="187"/>
        <v>579840</v>
      </c>
      <c r="X314" s="116"/>
      <c r="Y314" s="117">
        <f>+L314+W314</f>
        <v>3531840</v>
      </c>
      <c r="Z314" s="12"/>
      <c r="AA314" s="12">
        <f t="shared" si="188"/>
        <v>3531840</v>
      </c>
      <c r="AB314" s="12">
        <v>0.3</v>
      </c>
      <c r="AC314" s="12">
        <f t="shared" si="189"/>
        <v>10595.52</v>
      </c>
      <c r="AD314" s="42"/>
      <c r="AE314" s="12"/>
    </row>
    <row r="315" spans="1:31" s="46" customFormat="1" ht="21">
      <c r="A315" s="42" t="s">
        <v>0</v>
      </c>
      <c r="B315" s="42" t="s">
        <v>1</v>
      </c>
      <c r="C315" s="45" t="s">
        <v>1443</v>
      </c>
      <c r="D315" s="45" t="s">
        <v>299</v>
      </c>
      <c r="E315" s="29" t="s">
        <v>907</v>
      </c>
      <c r="F315" s="47" t="s">
        <v>143</v>
      </c>
      <c r="G315" s="42"/>
      <c r="H315" s="42"/>
      <c r="I315" s="44">
        <v>36.7</v>
      </c>
      <c r="J315" s="44">
        <f t="shared" si="183"/>
        <v>36.7</v>
      </c>
      <c r="K315" s="42">
        <v>80000</v>
      </c>
      <c r="L315" s="42">
        <f>+K315*J315</f>
        <v>2936000</v>
      </c>
      <c r="M315" s="42"/>
      <c r="N315" s="42" t="s">
        <v>60</v>
      </c>
      <c r="O315" s="101" t="s">
        <v>446</v>
      </c>
      <c r="P315" s="45">
        <v>3</v>
      </c>
      <c r="Q315" s="100">
        <v>120</v>
      </c>
      <c r="R315" s="100"/>
      <c r="S315" s="42">
        <v>7550</v>
      </c>
      <c r="T315" s="12">
        <f t="shared" si="185"/>
        <v>906000</v>
      </c>
      <c r="U315" s="102" t="s">
        <v>104</v>
      </c>
      <c r="V315" s="12">
        <f t="shared" si="186"/>
        <v>616080</v>
      </c>
      <c r="W315" s="12">
        <f t="shared" si="187"/>
        <v>289920</v>
      </c>
      <c r="X315" s="116"/>
      <c r="Y315" s="117">
        <f>+L315+W315</f>
        <v>3225920</v>
      </c>
      <c r="Z315" s="12"/>
      <c r="AA315" s="12">
        <f t="shared" si="188"/>
        <v>3225920</v>
      </c>
      <c r="AB315" s="12">
        <v>0.3</v>
      </c>
      <c r="AC315" s="12">
        <f t="shared" si="189"/>
        <v>9677.76</v>
      </c>
      <c r="AD315" s="42"/>
      <c r="AE315" s="12"/>
    </row>
    <row r="316" spans="1:31" s="46" customFormat="1" ht="21">
      <c r="A316" s="42" t="s">
        <v>0</v>
      </c>
      <c r="B316" s="42" t="s">
        <v>1</v>
      </c>
      <c r="C316" s="45" t="s">
        <v>1444</v>
      </c>
      <c r="D316" s="45" t="s">
        <v>300</v>
      </c>
      <c r="E316" s="29" t="s">
        <v>907</v>
      </c>
      <c r="F316" s="47" t="s">
        <v>143</v>
      </c>
      <c r="G316" s="42"/>
      <c r="H316" s="42"/>
      <c r="I316" s="44">
        <v>44.9</v>
      </c>
      <c r="J316" s="44">
        <f t="shared" si="183"/>
        <v>44.9</v>
      </c>
      <c r="K316" s="42">
        <v>80000</v>
      </c>
      <c r="L316" s="42">
        <f>+K316*J316</f>
        <v>3592000</v>
      </c>
      <c r="M316" s="42"/>
      <c r="N316" s="42"/>
      <c r="O316" s="101"/>
      <c r="P316" s="45"/>
      <c r="Q316" s="100"/>
      <c r="R316" s="100"/>
      <c r="S316" s="42"/>
      <c r="T316" s="12">
        <f t="shared" si="185"/>
        <v>0</v>
      </c>
      <c r="U316" s="102"/>
      <c r="V316" s="12">
        <f t="shared" si="186"/>
        <v>0</v>
      </c>
      <c r="W316" s="12">
        <f t="shared" si="187"/>
        <v>0</v>
      </c>
      <c r="X316" s="116"/>
      <c r="Y316" s="117">
        <f>+L316+W316</f>
        <v>3592000</v>
      </c>
      <c r="Z316" s="12"/>
      <c r="AA316" s="12">
        <f t="shared" si="188"/>
        <v>3592000</v>
      </c>
      <c r="AB316" s="12">
        <v>0.3</v>
      </c>
      <c r="AC316" s="12">
        <f t="shared" si="189"/>
        <v>10776</v>
      </c>
      <c r="AD316" s="42"/>
      <c r="AE316" s="12"/>
    </row>
    <row r="317" spans="1:31" s="46" customFormat="1" ht="21">
      <c r="A317" s="42" t="s">
        <v>0</v>
      </c>
      <c r="B317" s="42" t="s">
        <v>1</v>
      </c>
      <c r="C317" s="45" t="s">
        <v>1445</v>
      </c>
      <c r="D317" s="45" t="s">
        <v>301</v>
      </c>
      <c r="E317" s="10" t="s">
        <v>910</v>
      </c>
      <c r="F317" s="47" t="s">
        <v>137</v>
      </c>
      <c r="G317" s="42"/>
      <c r="H317" s="42">
        <v>1</v>
      </c>
      <c r="I317" s="44"/>
      <c r="J317" s="44">
        <f aca="true" t="shared" si="190" ref="J317:J324">+I317+(H317*100)+(G317*400)</f>
        <v>100</v>
      </c>
      <c r="K317" s="42">
        <v>8000</v>
      </c>
      <c r="L317" s="42">
        <f t="shared" si="184"/>
        <v>800000</v>
      </c>
      <c r="M317" s="42"/>
      <c r="N317" s="42" t="s">
        <v>64</v>
      </c>
      <c r="O317" s="101" t="s">
        <v>446</v>
      </c>
      <c r="P317" s="45">
        <v>2</v>
      </c>
      <c r="Q317" s="100">
        <v>90.25</v>
      </c>
      <c r="R317" s="100"/>
      <c r="S317" s="42">
        <v>6550</v>
      </c>
      <c r="T317" s="12">
        <f aca="true" t="shared" si="191" ref="T317:T324">+Q317*S317</f>
        <v>591137.5</v>
      </c>
      <c r="U317" s="102" t="s">
        <v>88</v>
      </c>
      <c r="V317" s="12">
        <f>+T317*0.32</f>
        <v>189164</v>
      </c>
      <c r="W317" s="12">
        <f aca="true" t="shared" si="192" ref="W317:W324">+T317-V317</f>
        <v>401973.5</v>
      </c>
      <c r="X317" s="116"/>
      <c r="Y317" s="117">
        <f>+L317+W317</f>
        <v>1201973.5</v>
      </c>
      <c r="Z317" s="12">
        <f>+Y317</f>
        <v>1201973.5</v>
      </c>
      <c r="AA317" s="12">
        <f aca="true" t="shared" si="193" ref="AA317:AA324">+Y317-Z317</f>
        <v>0</v>
      </c>
      <c r="AB317" s="12"/>
      <c r="AC317" s="12">
        <f aca="true" t="shared" si="194" ref="AC317:AC324">+AA317*AB317/100</f>
        <v>0</v>
      </c>
      <c r="AD317" s="42" t="s">
        <v>906</v>
      </c>
      <c r="AE317" s="12"/>
    </row>
    <row r="318" spans="1:31" s="46" customFormat="1" ht="21">
      <c r="A318" s="42" t="s">
        <v>0</v>
      </c>
      <c r="B318" s="42"/>
      <c r="C318" s="45"/>
      <c r="D318" s="45"/>
      <c r="E318" s="31"/>
      <c r="F318" s="47" t="s">
        <v>167</v>
      </c>
      <c r="G318" s="42">
        <v>2</v>
      </c>
      <c r="H318" s="42">
        <v>2</v>
      </c>
      <c r="I318" s="44">
        <v>66</v>
      </c>
      <c r="J318" s="44">
        <f t="shared" si="190"/>
        <v>1066</v>
      </c>
      <c r="K318" s="42">
        <v>8000</v>
      </c>
      <c r="L318" s="42">
        <f t="shared" si="184"/>
        <v>8528000</v>
      </c>
      <c r="M318" s="42">
        <v>1</v>
      </c>
      <c r="N318" s="42" t="s">
        <v>64</v>
      </c>
      <c r="O318" s="101" t="s">
        <v>446</v>
      </c>
      <c r="P318" s="45">
        <v>3</v>
      </c>
      <c r="Q318" s="100">
        <v>144</v>
      </c>
      <c r="R318" s="100">
        <v>21.16</v>
      </c>
      <c r="S318" s="42">
        <v>6550</v>
      </c>
      <c r="T318" s="12">
        <f t="shared" si="191"/>
        <v>943200</v>
      </c>
      <c r="U318" s="102" t="s">
        <v>88</v>
      </c>
      <c r="V318" s="12">
        <f>+T318*0.32</f>
        <v>301824</v>
      </c>
      <c r="W318" s="12">
        <f t="shared" si="192"/>
        <v>641376</v>
      </c>
      <c r="X318" s="116"/>
      <c r="Y318" s="126">
        <f>+L318*(R318/100)+W318</f>
        <v>2445900.8</v>
      </c>
      <c r="Z318" s="12"/>
      <c r="AA318" s="12">
        <f t="shared" si="193"/>
        <v>2445900.8</v>
      </c>
      <c r="AB318" s="12">
        <v>0.3</v>
      </c>
      <c r="AC318" s="12">
        <f t="shared" si="194"/>
        <v>7337.702399999998</v>
      </c>
      <c r="AD318" s="42"/>
      <c r="AE318" s="12"/>
    </row>
    <row r="319" spans="1:31" s="46" customFormat="1" ht="21">
      <c r="A319" s="42" t="s">
        <v>0</v>
      </c>
      <c r="B319" s="42"/>
      <c r="C319" s="45"/>
      <c r="D319" s="45"/>
      <c r="E319" s="31"/>
      <c r="F319" s="47"/>
      <c r="G319" s="42"/>
      <c r="H319" s="42"/>
      <c r="I319" s="44"/>
      <c r="J319" s="44">
        <f t="shared" si="190"/>
        <v>0</v>
      </c>
      <c r="K319" s="42"/>
      <c r="L319" s="42">
        <f t="shared" si="184"/>
        <v>0</v>
      </c>
      <c r="M319" s="42">
        <v>2</v>
      </c>
      <c r="N319" s="42" t="s">
        <v>184</v>
      </c>
      <c r="O319" s="101" t="s">
        <v>446</v>
      </c>
      <c r="P319" s="45">
        <v>2</v>
      </c>
      <c r="Q319" s="100">
        <v>80</v>
      </c>
      <c r="R319" s="100">
        <v>11.75</v>
      </c>
      <c r="S319" s="42">
        <v>7550</v>
      </c>
      <c r="T319" s="12">
        <f t="shared" si="191"/>
        <v>604000</v>
      </c>
      <c r="U319" s="102" t="s">
        <v>88</v>
      </c>
      <c r="V319" s="12">
        <f>+T319*0.32</f>
        <v>193280</v>
      </c>
      <c r="W319" s="12">
        <f t="shared" si="192"/>
        <v>410720</v>
      </c>
      <c r="X319" s="116"/>
      <c r="Y319" s="126">
        <f>+L318*(R319/100)+W319</f>
        <v>1412760</v>
      </c>
      <c r="Z319" s="12"/>
      <c r="AA319" s="12">
        <f t="shared" si="193"/>
        <v>1412760</v>
      </c>
      <c r="AB319" s="12">
        <v>0.02</v>
      </c>
      <c r="AC319" s="12">
        <f t="shared" si="194"/>
        <v>282.552</v>
      </c>
      <c r="AD319" s="42"/>
      <c r="AE319" s="12"/>
    </row>
    <row r="320" spans="1:31" s="46" customFormat="1" ht="21">
      <c r="A320" s="42" t="s">
        <v>0</v>
      </c>
      <c r="B320" s="42"/>
      <c r="C320" s="45"/>
      <c r="D320" s="45"/>
      <c r="E320" s="31"/>
      <c r="F320" s="47"/>
      <c r="G320" s="42"/>
      <c r="H320" s="42"/>
      <c r="I320" s="44"/>
      <c r="J320" s="44">
        <f t="shared" si="190"/>
        <v>0</v>
      </c>
      <c r="K320" s="42"/>
      <c r="L320" s="42">
        <f t="shared" si="184"/>
        <v>0</v>
      </c>
      <c r="M320" s="42">
        <v>3</v>
      </c>
      <c r="N320" s="42" t="s">
        <v>64</v>
      </c>
      <c r="O320" s="101" t="s">
        <v>446</v>
      </c>
      <c r="P320" s="45">
        <v>2</v>
      </c>
      <c r="Q320" s="100">
        <v>180.5</v>
      </c>
      <c r="R320" s="100">
        <v>26.52</v>
      </c>
      <c r="S320" s="42">
        <v>6550</v>
      </c>
      <c r="T320" s="12">
        <f t="shared" si="191"/>
        <v>1182275</v>
      </c>
      <c r="U320" s="102" t="s">
        <v>144</v>
      </c>
      <c r="V320" s="12">
        <f>+T320*0.07</f>
        <v>82759.25000000001</v>
      </c>
      <c r="W320" s="12">
        <f t="shared" si="192"/>
        <v>1099515.75</v>
      </c>
      <c r="X320" s="116"/>
      <c r="Y320" s="126">
        <f>+L318*(R320/100)+W320</f>
        <v>3361141.35</v>
      </c>
      <c r="Z320" s="12"/>
      <c r="AA320" s="12">
        <f t="shared" si="193"/>
        <v>3361141.35</v>
      </c>
      <c r="AB320" s="12">
        <v>0.02</v>
      </c>
      <c r="AC320" s="12">
        <f t="shared" si="194"/>
        <v>672.2282700000001</v>
      </c>
      <c r="AD320" s="42"/>
      <c r="AE320" s="12" t="s">
        <v>2</v>
      </c>
    </row>
    <row r="321" spans="1:31" s="46" customFormat="1" ht="21">
      <c r="A321" s="42" t="s">
        <v>0</v>
      </c>
      <c r="B321" s="42"/>
      <c r="C321" s="45"/>
      <c r="D321" s="45"/>
      <c r="E321" s="31"/>
      <c r="F321" s="47"/>
      <c r="G321" s="42"/>
      <c r="H321" s="42"/>
      <c r="I321" s="44"/>
      <c r="J321" s="44">
        <f t="shared" si="190"/>
        <v>0</v>
      </c>
      <c r="K321" s="42"/>
      <c r="L321" s="42">
        <f t="shared" si="184"/>
        <v>0</v>
      </c>
      <c r="M321" s="42">
        <v>4</v>
      </c>
      <c r="N321" s="42" t="s">
        <v>112</v>
      </c>
      <c r="O321" s="101" t="s">
        <v>446</v>
      </c>
      <c r="P321" s="45">
        <v>3</v>
      </c>
      <c r="Q321" s="100">
        <f>24+12</f>
        <v>36</v>
      </c>
      <c r="R321" s="100">
        <v>5.29</v>
      </c>
      <c r="S321" s="42">
        <v>3500</v>
      </c>
      <c r="T321" s="12">
        <f t="shared" si="191"/>
        <v>126000</v>
      </c>
      <c r="U321" s="102" t="s">
        <v>88</v>
      </c>
      <c r="V321" s="12">
        <f>+T321*0.32</f>
        <v>40320</v>
      </c>
      <c r="W321" s="12">
        <f t="shared" si="192"/>
        <v>85680</v>
      </c>
      <c r="X321" s="116"/>
      <c r="Y321" s="126">
        <f>+L318*(R321/100)+W321</f>
        <v>536811.2</v>
      </c>
      <c r="Z321" s="12"/>
      <c r="AA321" s="12">
        <f t="shared" si="193"/>
        <v>536811.2</v>
      </c>
      <c r="AB321" s="12">
        <v>0.3</v>
      </c>
      <c r="AC321" s="12">
        <f t="shared" si="194"/>
        <v>1610.4335999999998</v>
      </c>
      <c r="AD321" s="42"/>
      <c r="AE321" s="12"/>
    </row>
    <row r="322" spans="1:31" s="46" customFormat="1" ht="21">
      <c r="A322" s="42" t="s">
        <v>0</v>
      </c>
      <c r="B322" s="42"/>
      <c r="C322" s="45"/>
      <c r="D322" s="45"/>
      <c r="E322" s="31"/>
      <c r="F322" s="47"/>
      <c r="G322" s="42"/>
      <c r="H322" s="42"/>
      <c r="I322" s="44"/>
      <c r="J322" s="44">
        <f t="shared" si="190"/>
        <v>0</v>
      </c>
      <c r="K322" s="42"/>
      <c r="L322" s="42">
        <f>+K322*J322</f>
        <v>0</v>
      </c>
      <c r="M322" s="42">
        <v>5</v>
      </c>
      <c r="N322" s="42" t="s">
        <v>64</v>
      </c>
      <c r="O322" s="101" t="s">
        <v>446</v>
      </c>
      <c r="P322" s="45">
        <v>2</v>
      </c>
      <c r="Q322" s="100">
        <v>48</v>
      </c>
      <c r="R322" s="100">
        <v>7.05</v>
      </c>
      <c r="S322" s="42">
        <v>6550</v>
      </c>
      <c r="T322" s="12">
        <f t="shared" si="191"/>
        <v>314400</v>
      </c>
      <c r="U322" s="102" t="s">
        <v>144</v>
      </c>
      <c r="V322" s="12">
        <f>+T322*0.07</f>
        <v>22008.000000000004</v>
      </c>
      <c r="W322" s="12">
        <f t="shared" si="192"/>
        <v>292392</v>
      </c>
      <c r="X322" s="116"/>
      <c r="Y322" s="126">
        <f>+L318*(R322/100)+W322</f>
        <v>893616</v>
      </c>
      <c r="Z322" s="12"/>
      <c r="AA322" s="12">
        <f t="shared" si="193"/>
        <v>893616</v>
      </c>
      <c r="AB322" s="12">
        <v>0.02</v>
      </c>
      <c r="AC322" s="12">
        <f t="shared" si="194"/>
        <v>178.7232</v>
      </c>
      <c r="AD322" s="42"/>
      <c r="AE322" s="12"/>
    </row>
    <row r="323" spans="1:31" s="46" customFormat="1" ht="21">
      <c r="A323" s="42" t="s">
        <v>0</v>
      </c>
      <c r="B323" s="42"/>
      <c r="C323" s="45"/>
      <c r="D323" s="45"/>
      <c r="E323" s="31"/>
      <c r="F323" s="47"/>
      <c r="G323" s="42"/>
      <c r="H323" s="42"/>
      <c r="I323" s="44"/>
      <c r="J323" s="44">
        <f t="shared" si="190"/>
        <v>0</v>
      </c>
      <c r="K323" s="42"/>
      <c r="L323" s="42">
        <f>+K323*J323</f>
        <v>0</v>
      </c>
      <c r="M323" s="42">
        <v>6</v>
      </c>
      <c r="N323" s="42" t="s">
        <v>302</v>
      </c>
      <c r="O323" s="101" t="s">
        <v>446</v>
      </c>
      <c r="P323" s="45">
        <v>2</v>
      </c>
      <c r="Q323" s="100">
        <v>192</v>
      </c>
      <c r="R323" s="100">
        <v>28.23</v>
      </c>
      <c r="S323" s="42">
        <v>7550</v>
      </c>
      <c r="T323" s="12">
        <f t="shared" si="191"/>
        <v>1449600</v>
      </c>
      <c r="U323" s="102" t="s">
        <v>144</v>
      </c>
      <c r="V323" s="12">
        <f>+T323*0.07</f>
        <v>101472.00000000001</v>
      </c>
      <c r="W323" s="12">
        <f t="shared" si="192"/>
        <v>1348128</v>
      </c>
      <c r="X323" s="116"/>
      <c r="Y323" s="126">
        <f>+L318*(R323/100)+W323</f>
        <v>3755582.4</v>
      </c>
      <c r="Z323" s="12"/>
      <c r="AA323" s="12">
        <f t="shared" si="193"/>
        <v>3755582.4</v>
      </c>
      <c r="AB323" s="12">
        <v>0.02</v>
      </c>
      <c r="AC323" s="12">
        <f t="shared" si="194"/>
        <v>751.11648</v>
      </c>
      <c r="AD323" s="42"/>
      <c r="AE323" s="12"/>
    </row>
    <row r="324" spans="1:31" s="46" customFormat="1" ht="21">
      <c r="A324" s="42"/>
      <c r="B324" s="42"/>
      <c r="C324" s="45"/>
      <c r="D324" s="31"/>
      <c r="E324" s="31"/>
      <c r="F324" s="47"/>
      <c r="G324" s="42"/>
      <c r="H324" s="42"/>
      <c r="I324" s="44"/>
      <c r="J324" s="44">
        <f t="shared" si="190"/>
        <v>0</v>
      </c>
      <c r="K324" s="42"/>
      <c r="L324" s="42">
        <f>+K324*J324</f>
        <v>0</v>
      </c>
      <c r="M324" s="42"/>
      <c r="N324" s="42"/>
      <c r="O324" s="101"/>
      <c r="P324" s="45"/>
      <c r="Q324" s="42"/>
      <c r="R324" s="42"/>
      <c r="S324" s="42"/>
      <c r="T324" s="12">
        <f t="shared" si="191"/>
        <v>0</v>
      </c>
      <c r="U324" s="45"/>
      <c r="V324" s="12">
        <f>+T324*0</f>
        <v>0</v>
      </c>
      <c r="W324" s="12">
        <f t="shared" si="192"/>
        <v>0</v>
      </c>
      <c r="X324" s="12"/>
      <c r="Y324" s="12">
        <f>+L324+W324</f>
        <v>0</v>
      </c>
      <c r="Z324" s="12"/>
      <c r="AA324" s="12">
        <f t="shared" si="193"/>
        <v>0</v>
      </c>
      <c r="AB324" s="12"/>
      <c r="AC324" s="12">
        <f t="shared" si="194"/>
        <v>0</v>
      </c>
      <c r="AD324" s="42"/>
      <c r="AE324" s="12"/>
    </row>
    <row r="325" spans="1:31" s="46" customFormat="1" ht="21">
      <c r="A325" s="42" t="s">
        <v>0</v>
      </c>
      <c r="B325" s="42" t="s">
        <v>1</v>
      </c>
      <c r="C325" s="45" t="s">
        <v>1446</v>
      </c>
      <c r="D325" s="45" t="s">
        <v>303</v>
      </c>
      <c r="E325" s="10" t="s">
        <v>909</v>
      </c>
      <c r="F325" s="47" t="s">
        <v>143</v>
      </c>
      <c r="G325" s="42"/>
      <c r="H325" s="42">
        <v>2</v>
      </c>
      <c r="I325" s="44">
        <v>41.3</v>
      </c>
      <c r="J325" s="44">
        <f aca="true" t="shared" si="195" ref="J325:J332">+I325+(H325*100)+(G325*400)</f>
        <v>241.3</v>
      </c>
      <c r="K325" s="42">
        <v>4000</v>
      </c>
      <c r="L325" s="42">
        <f t="shared" si="184"/>
        <v>965200</v>
      </c>
      <c r="M325" s="42"/>
      <c r="N325" s="42"/>
      <c r="O325" s="101"/>
      <c r="P325" s="45"/>
      <c r="Q325" s="42"/>
      <c r="R325" s="100"/>
      <c r="S325" s="42"/>
      <c r="T325" s="12">
        <f aca="true" t="shared" si="196" ref="T325:T332">+Q325*S325</f>
        <v>0</v>
      </c>
      <c r="U325" s="45"/>
      <c r="V325" s="12">
        <f aca="true" t="shared" si="197" ref="V325:V331">+T325*0</f>
        <v>0</v>
      </c>
      <c r="W325" s="12">
        <f aca="true" t="shared" si="198" ref="W325:W332">+T325-V325</f>
        <v>0</v>
      </c>
      <c r="X325" s="116"/>
      <c r="Y325" s="117">
        <f aca="true" t="shared" si="199" ref="Y325:Y333">+L325+W325</f>
        <v>965200</v>
      </c>
      <c r="Z325" s="12"/>
      <c r="AA325" s="12">
        <f aca="true" t="shared" si="200" ref="AA325:AA332">+Y325-Z325</f>
        <v>965200</v>
      </c>
      <c r="AB325" s="12">
        <v>0.3</v>
      </c>
      <c r="AC325" s="12">
        <f aca="true" t="shared" si="201" ref="AC325:AC332">+AA325*AB325/100</f>
        <v>2895.6</v>
      </c>
      <c r="AD325" s="42"/>
      <c r="AE325" s="12" t="e">
        <f>+AC325*#REF!/#REF!</f>
        <v>#REF!</v>
      </c>
    </row>
    <row r="326" spans="1:31" s="46" customFormat="1" ht="21">
      <c r="A326" s="42" t="s">
        <v>0</v>
      </c>
      <c r="B326" s="42" t="s">
        <v>1</v>
      </c>
      <c r="C326" s="45" t="s">
        <v>1066</v>
      </c>
      <c r="D326" s="45" t="s">
        <v>304</v>
      </c>
      <c r="E326" s="10" t="s">
        <v>909</v>
      </c>
      <c r="F326" s="47" t="s">
        <v>143</v>
      </c>
      <c r="G326" s="42">
        <v>1</v>
      </c>
      <c r="H326" s="42"/>
      <c r="I326" s="44">
        <v>18.2</v>
      </c>
      <c r="J326" s="44">
        <f t="shared" si="195"/>
        <v>418.2</v>
      </c>
      <c r="K326" s="42">
        <v>4000</v>
      </c>
      <c r="L326" s="42">
        <f t="shared" si="184"/>
        <v>1672800</v>
      </c>
      <c r="M326" s="42"/>
      <c r="N326" s="42"/>
      <c r="O326" s="101"/>
      <c r="P326" s="45"/>
      <c r="Q326" s="42"/>
      <c r="R326" s="100"/>
      <c r="S326" s="42"/>
      <c r="T326" s="12">
        <f t="shared" si="196"/>
        <v>0</v>
      </c>
      <c r="U326" s="45"/>
      <c r="V326" s="12">
        <f t="shared" si="197"/>
        <v>0</v>
      </c>
      <c r="W326" s="12">
        <f t="shared" si="198"/>
        <v>0</v>
      </c>
      <c r="X326" s="116"/>
      <c r="Y326" s="117">
        <f t="shared" si="199"/>
        <v>1672800</v>
      </c>
      <c r="Z326" s="12"/>
      <c r="AA326" s="12">
        <f t="shared" si="200"/>
        <v>1672800</v>
      </c>
      <c r="AB326" s="12">
        <v>0.3</v>
      </c>
      <c r="AC326" s="12">
        <f t="shared" si="201"/>
        <v>5018.4</v>
      </c>
      <c r="AD326" s="42"/>
      <c r="AE326" s="12" t="e">
        <f>+AC326*#REF!/#REF!</f>
        <v>#REF!</v>
      </c>
    </row>
    <row r="327" spans="1:31" s="46" customFormat="1" ht="21">
      <c r="A327" s="42" t="s">
        <v>0</v>
      </c>
      <c r="B327" s="42" t="s">
        <v>1</v>
      </c>
      <c r="C327" s="45" t="s">
        <v>1447</v>
      </c>
      <c r="D327" s="45" t="s">
        <v>305</v>
      </c>
      <c r="E327" s="10" t="s">
        <v>909</v>
      </c>
      <c r="F327" s="47" t="s">
        <v>143</v>
      </c>
      <c r="G327" s="42"/>
      <c r="H327" s="42">
        <v>3</v>
      </c>
      <c r="I327" s="44">
        <v>47</v>
      </c>
      <c r="J327" s="44">
        <f t="shared" si="195"/>
        <v>347</v>
      </c>
      <c r="K327" s="42">
        <v>10000</v>
      </c>
      <c r="L327" s="42">
        <f t="shared" si="184"/>
        <v>3470000</v>
      </c>
      <c r="M327" s="42"/>
      <c r="N327" s="42"/>
      <c r="O327" s="121" t="s">
        <v>1779</v>
      </c>
      <c r="P327" s="45"/>
      <c r="Q327" s="42"/>
      <c r="R327" s="100"/>
      <c r="S327" s="42"/>
      <c r="T327" s="12">
        <f t="shared" si="196"/>
        <v>0</v>
      </c>
      <c r="U327" s="45"/>
      <c r="V327" s="12">
        <f t="shared" si="197"/>
        <v>0</v>
      </c>
      <c r="W327" s="12">
        <f t="shared" si="198"/>
        <v>0</v>
      </c>
      <c r="X327" s="116"/>
      <c r="Y327" s="117">
        <f t="shared" si="199"/>
        <v>3470000</v>
      </c>
      <c r="Z327" s="12"/>
      <c r="AA327" s="12">
        <f t="shared" si="200"/>
        <v>3470000</v>
      </c>
      <c r="AB327" s="12">
        <v>0.3</v>
      </c>
      <c r="AC327" s="12">
        <f t="shared" si="201"/>
        <v>10410</v>
      </c>
      <c r="AD327" s="12"/>
      <c r="AE327" s="12" t="e">
        <f>+AC327*#REF!/#REF!</f>
        <v>#REF!</v>
      </c>
    </row>
    <row r="328" spans="1:31" s="46" customFormat="1" ht="21">
      <c r="A328" s="42" t="s">
        <v>0</v>
      </c>
      <c r="B328" s="42" t="s">
        <v>1</v>
      </c>
      <c r="C328" s="45" t="s">
        <v>1449</v>
      </c>
      <c r="D328" s="45" t="s">
        <v>308</v>
      </c>
      <c r="E328" s="29" t="s">
        <v>907</v>
      </c>
      <c r="F328" s="47" t="s">
        <v>143</v>
      </c>
      <c r="G328" s="42">
        <v>4</v>
      </c>
      <c r="H328" s="42"/>
      <c r="I328" s="44">
        <v>26.7</v>
      </c>
      <c r="J328" s="44">
        <f t="shared" si="195"/>
        <v>1626.7</v>
      </c>
      <c r="K328" s="42">
        <v>15000</v>
      </c>
      <c r="L328" s="42">
        <f aca="true" t="shared" si="202" ref="L328:L333">+K328*J328</f>
        <v>24400500</v>
      </c>
      <c r="M328" s="42"/>
      <c r="N328" s="42"/>
      <c r="O328" s="101"/>
      <c r="P328" s="45"/>
      <c r="Q328" s="42"/>
      <c r="R328" s="100"/>
      <c r="S328" s="42"/>
      <c r="T328" s="12">
        <f t="shared" si="196"/>
        <v>0</v>
      </c>
      <c r="U328" s="45"/>
      <c r="V328" s="12">
        <f t="shared" si="197"/>
        <v>0</v>
      </c>
      <c r="W328" s="12">
        <f t="shared" si="198"/>
        <v>0</v>
      </c>
      <c r="X328" s="116"/>
      <c r="Y328" s="117">
        <f t="shared" si="199"/>
        <v>24400500</v>
      </c>
      <c r="Z328" s="12"/>
      <c r="AA328" s="12">
        <f t="shared" si="200"/>
        <v>24400500</v>
      </c>
      <c r="AB328" s="12">
        <v>0.3</v>
      </c>
      <c r="AC328" s="12">
        <f t="shared" si="201"/>
        <v>73201.5</v>
      </c>
      <c r="AD328" s="42"/>
      <c r="AE328" s="12" t="e">
        <f>+AC328*#REF!/#REF!</f>
        <v>#REF!</v>
      </c>
    </row>
    <row r="329" spans="1:31" s="46" customFormat="1" ht="21">
      <c r="A329" s="42" t="s">
        <v>0</v>
      </c>
      <c r="B329" s="42" t="s">
        <v>1</v>
      </c>
      <c r="C329" s="45" t="s">
        <v>1450</v>
      </c>
      <c r="D329" s="45" t="s">
        <v>307</v>
      </c>
      <c r="E329" s="29" t="s">
        <v>907</v>
      </c>
      <c r="F329" s="47" t="s">
        <v>143</v>
      </c>
      <c r="G329" s="42"/>
      <c r="H329" s="42">
        <v>3</v>
      </c>
      <c r="I329" s="44">
        <v>97.1</v>
      </c>
      <c r="J329" s="44">
        <f t="shared" si="195"/>
        <v>397.1</v>
      </c>
      <c r="K329" s="42">
        <v>10000</v>
      </c>
      <c r="L329" s="42">
        <f t="shared" si="202"/>
        <v>3971000</v>
      </c>
      <c r="M329" s="42"/>
      <c r="N329" s="42"/>
      <c r="O329" s="101"/>
      <c r="P329" s="45"/>
      <c r="Q329" s="42"/>
      <c r="R329" s="100"/>
      <c r="S329" s="42"/>
      <c r="T329" s="12">
        <f t="shared" si="196"/>
        <v>0</v>
      </c>
      <c r="U329" s="45"/>
      <c r="V329" s="12">
        <f t="shared" si="197"/>
        <v>0</v>
      </c>
      <c r="W329" s="12">
        <f t="shared" si="198"/>
        <v>0</v>
      </c>
      <c r="X329" s="116"/>
      <c r="Y329" s="117">
        <f t="shared" si="199"/>
        <v>3971000</v>
      </c>
      <c r="Z329" s="12"/>
      <c r="AA329" s="12">
        <f t="shared" si="200"/>
        <v>3971000</v>
      </c>
      <c r="AB329" s="12">
        <v>0.3</v>
      </c>
      <c r="AC329" s="12">
        <f t="shared" si="201"/>
        <v>11913</v>
      </c>
      <c r="AD329" s="42"/>
      <c r="AE329" s="12" t="e">
        <f>+AC329*#REF!/#REF!</f>
        <v>#REF!</v>
      </c>
    </row>
    <row r="330" spans="1:31" s="46" customFormat="1" ht="21">
      <c r="A330" s="42" t="s">
        <v>0</v>
      </c>
      <c r="B330" s="42" t="s">
        <v>1</v>
      </c>
      <c r="C330" s="45" t="s">
        <v>1448</v>
      </c>
      <c r="D330" s="45" t="s">
        <v>306</v>
      </c>
      <c r="E330" s="10" t="s">
        <v>909</v>
      </c>
      <c r="F330" s="47" t="s">
        <v>140</v>
      </c>
      <c r="G330" s="42"/>
      <c r="H330" s="42"/>
      <c r="I330" s="44">
        <v>52.6</v>
      </c>
      <c r="J330" s="44">
        <f>+I330+(H330*100)+(G330*400)</f>
        <v>52.6</v>
      </c>
      <c r="K330" s="42">
        <v>12000</v>
      </c>
      <c r="L330" s="42">
        <f t="shared" si="202"/>
        <v>631200</v>
      </c>
      <c r="M330" s="42"/>
      <c r="N330" s="42"/>
      <c r="O330" s="101"/>
      <c r="P330" s="45"/>
      <c r="Q330" s="42"/>
      <c r="R330" s="100"/>
      <c r="S330" s="42"/>
      <c r="T330" s="12">
        <f>+Q330*S330</f>
        <v>0</v>
      </c>
      <c r="U330" s="45"/>
      <c r="V330" s="12">
        <f>+T330*0</f>
        <v>0</v>
      </c>
      <c r="W330" s="12">
        <f>+T330-V330</f>
        <v>0</v>
      </c>
      <c r="X330" s="116"/>
      <c r="Y330" s="117">
        <f>+L330+W330</f>
        <v>631200</v>
      </c>
      <c r="Z330" s="12"/>
      <c r="AA330" s="12">
        <f>+Y330-Z330</f>
        <v>631200</v>
      </c>
      <c r="AB330" s="12">
        <v>0.3</v>
      </c>
      <c r="AC330" s="12">
        <f>+AA330*AB330/100</f>
        <v>1893.6</v>
      </c>
      <c r="AD330" s="42"/>
      <c r="AE330" s="12" t="e">
        <f>+AC330*#REF!/#REF!</f>
        <v>#REF!</v>
      </c>
    </row>
    <row r="331" spans="1:31" s="46" customFormat="1" ht="21">
      <c r="A331" s="42" t="s">
        <v>0</v>
      </c>
      <c r="B331" s="42" t="s">
        <v>1</v>
      </c>
      <c r="C331" s="45" t="s">
        <v>1451</v>
      </c>
      <c r="D331" s="45" t="s">
        <v>309</v>
      </c>
      <c r="E331" s="29" t="s">
        <v>907</v>
      </c>
      <c r="F331" s="47" t="s">
        <v>137</v>
      </c>
      <c r="G331" s="42"/>
      <c r="H331" s="42"/>
      <c r="I331" s="44">
        <v>61.3</v>
      </c>
      <c r="J331" s="44">
        <f t="shared" si="195"/>
        <v>61.3</v>
      </c>
      <c r="K331" s="42">
        <v>20000</v>
      </c>
      <c r="L331" s="42">
        <f t="shared" si="202"/>
        <v>1226000</v>
      </c>
      <c r="M331" s="42"/>
      <c r="N331" s="42"/>
      <c r="O331" s="101"/>
      <c r="P331" s="45"/>
      <c r="Q331" s="100"/>
      <c r="R331" s="100"/>
      <c r="S331" s="42"/>
      <c r="T331" s="12">
        <f t="shared" si="196"/>
        <v>0</v>
      </c>
      <c r="U331" s="102"/>
      <c r="V331" s="12">
        <f t="shared" si="197"/>
        <v>0</v>
      </c>
      <c r="W331" s="12">
        <f t="shared" si="198"/>
        <v>0</v>
      </c>
      <c r="X331" s="116"/>
      <c r="Y331" s="117">
        <f t="shared" si="199"/>
        <v>1226000</v>
      </c>
      <c r="Z331" s="12"/>
      <c r="AA331" s="12">
        <f t="shared" si="200"/>
        <v>1226000</v>
      </c>
      <c r="AB331" s="12">
        <v>0.02</v>
      </c>
      <c r="AC331" s="12">
        <f t="shared" si="201"/>
        <v>245.2</v>
      </c>
      <c r="AD331" s="42"/>
      <c r="AE331" s="12" t="e">
        <f>+AC331*#REF!/#REF!</f>
        <v>#REF!</v>
      </c>
    </row>
    <row r="332" spans="1:31" s="46" customFormat="1" ht="21">
      <c r="A332" s="42" t="s">
        <v>0</v>
      </c>
      <c r="B332" s="42" t="s">
        <v>1</v>
      </c>
      <c r="C332" s="45" t="s">
        <v>1452</v>
      </c>
      <c r="D332" s="45" t="s">
        <v>310</v>
      </c>
      <c r="E332" s="30" t="s">
        <v>908</v>
      </c>
      <c r="F332" s="47" t="s">
        <v>137</v>
      </c>
      <c r="G332" s="42"/>
      <c r="H332" s="42"/>
      <c r="I332" s="44">
        <v>32.3</v>
      </c>
      <c r="J332" s="44">
        <f t="shared" si="195"/>
        <v>32.3</v>
      </c>
      <c r="K332" s="42">
        <v>8000</v>
      </c>
      <c r="L332" s="42">
        <f t="shared" si="202"/>
        <v>258399.99999999997</v>
      </c>
      <c r="M332" s="42"/>
      <c r="N332" s="42" t="s">
        <v>64</v>
      </c>
      <c r="O332" s="101" t="s">
        <v>446</v>
      </c>
      <c r="P332" s="45">
        <v>2</v>
      </c>
      <c r="Q332" s="100">
        <v>40</v>
      </c>
      <c r="R332" s="100"/>
      <c r="S332" s="42">
        <v>6550</v>
      </c>
      <c r="T332" s="12">
        <f t="shared" si="196"/>
        <v>262000</v>
      </c>
      <c r="U332" s="102" t="s">
        <v>105</v>
      </c>
      <c r="V332" s="12">
        <f>+T332*0.72</f>
        <v>188640</v>
      </c>
      <c r="W332" s="12">
        <f t="shared" si="198"/>
        <v>73360</v>
      </c>
      <c r="X332" s="116"/>
      <c r="Y332" s="117">
        <f t="shared" si="199"/>
        <v>331760</v>
      </c>
      <c r="Z332" s="12"/>
      <c r="AA332" s="12">
        <f t="shared" si="200"/>
        <v>331760</v>
      </c>
      <c r="AB332" s="12">
        <v>0.02</v>
      </c>
      <c r="AC332" s="12">
        <f t="shared" si="201"/>
        <v>66.352</v>
      </c>
      <c r="AD332" s="42"/>
      <c r="AE332" s="12" t="e">
        <f>+AC332*#REF!/#REF!</f>
        <v>#REF!</v>
      </c>
    </row>
    <row r="333" spans="1:31" s="46" customFormat="1" ht="21">
      <c r="A333" s="42" t="s">
        <v>0</v>
      </c>
      <c r="B333" s="42" t="s">
        <v>1</v>
      </c>
      <c r="C333" s="45" t="s">
        <v>1453</v>
      </c>
      <c r="D333" s="45" t="s">
        <v>526</v>
      </c>
      <c r="E333" s="30" t="s">
        <v>908</v>
      </c>
      <c r="F333" s="47" t="s">
        <v>140</v>
      </c>
      <c r="G333" s="42"/>
      <c r="H333" s="42"/>
      <c r="I333" s="44">
        <v>31.9</v>
      </c>
      <c r="J333" s="44">
        <f aca="true" t="shared" si="203" ref="J333:J347">+I333+(H333*100)+(G333*400)</f>
        <v>31.9</v>
      </c>
      <c r="K333" s="42">
        <v>40000</v>
      </c>
      <c r="L333" s="42">
        <f t="shared" si="202"/>
        <v>1276000</v>
      </c>
      <c r="M333" s="42"/>
      <c r="N333" s="42"/>
      <c r="O333" s="101"/>
      <c r="P333" s="45"/>
      <c r="Q333" s="42"/>
      <c r="R333" s="100"/>
      <c r="S333" s="42"/>
      <c r="T333" s="12">
        <f aca="true" t="shared" si="204" ref="T333:T347">+Q333*S333</f>
        <v>0</v>
      </c>
      <c r="U333" s="45"/>
      <c r="V333" s="12">
        <f>+T333*0</f>
        <v>0</v>
      </c>
      <c r="W333" s="12">
        <f aca="true" t="shared" si="205" ref="W333:W347">+T333-V333</f>
        <v>0</v>
      </c>
      <c r="X333" s="116"/>
      <c r="Y333" s="117">
        <f t="shared" si="199"/>
        <v>1276000</v>
      </c>
      <c r="Z333" s="12"/>
      <c r="AA333" s="12">
        <f aca="true" t="shared" si="206" ref="AA333:AA347">+Y333-Z333</f>
        <v>1276000</v>
      </c>
      <c r="AB333" s="12">
        <v>0.3</v>
      </c>
      <c r="AC333" s="12">
        <f aca="true" t="shared" si="207" ref="AC333:AC347">+AA333*AB333/100</f>
        <v>3828</v>
      </c>
      <c r="AD333" s="42"/>
      <c r="AE333" s="12" t="e">
        <f>+AC333*#REF!/#REF!</f>
        <v>#REF!</v>
      </c>
    </row>
    <row r="334" spans="1:31" s="46" customFormat="1" ht="21">
      <c r="A334" s="42" t="s">
        <v>0</v>
      </c>
      <c r="B334" s="42" t="s">
        <v>1</v>
      </c>
      <c r="C334" s="45" t="s">
        <v>1454</v>
      </c>
      <c r="D334" s="45" t="s">
        <v>311</v>
      </c>
      <c r="E334" s="29" t="s">
        <v>907</v>
      </c>
      <c r="F334" s="47" t="s">
        <v>177</v>
      </c>
      <c r="G334" s="42">
        <v>2</v>
      </c>
      <c r="H334" s="42"/>
      <c r="I334" s="44">
        <v>73.5</v>
      </c>
      <c r="J334" s="44">
        <f t="shared" si="203"/>
        <v>873.5</v>
      </c>
      <c r="K334" s="42">
        <v>4500</v>
      </c>
      <c r="L334" s="42">
        <f t="shared" si="184"/>
        <v>3930750</v>
      </c>
      <c r="M334" s="42"/>
      <c r="N334" s="42"/>
      <c r="O334" s="101"/>
      <c r="P334" s="45"/>
      <c r="Q334" s="42"/>
      <c r="R334" s="100"/>
      <c r="S334" s="42"/>
      <c r="T334" s="12">
        <f t="shared" si="204"/>
        <v>0</v>
      </c>
      <c r="U334" s="45"/>
      <c r="V334" s="12">
        <f>+T334*0</f>
        <v>0</v>
      </c>
      <c r="W334" s="12">
        <f t="shared" si="205"/>
        <v>0</v>
      </c>
      <c r="X334" s="116"/>
      <c r="Y334" s="117">
        <f>+L334+W334</f>
        <v>3930750</v>
      </c>
      <c r="Z334" s="12">
        <f>+Y334</f>
        <v>3930750</v>
      </c>
      <c r="AA334" s="12">
        <f t="shared" si="206"/>
        <v>0</v>
      </c>
      <c r="AB334" s="12"/>
      <c r="AC334" s="12">
        <f t="shared" si="207"/>
        <v>0</v>
      </c>
      <c r="AD334" s="42"/>
      <c r="AE334" s="12"/>
    </row>
    <row r="335" spans="1:31" s="46" customFormat="1" ht="21">
      <c r="A335" s="42" t="s">
        <v>0</v>
      </c>
      <c r="B335" s="42" t="s">
        <v>1</v>
      </c>
      <c r="C335" s="45" t="s">
        <v>1455</v>
      </c>
      <c r="D335" s="45" t="s">
        <v>312</v>
      </c>
      <c r="E335" s="29" t="s">
        <v>907</v>
      </c>
      <c r="F335" s="47" t="s">
        <v>167</v>
      </c>
      <c r="G335" s="42"/>
      <c r="H335" s="42"/>
      <c r="I335" s="44">
        <v>37.2</v>
      </c>
      <c r="J335" s="44">
        <f t="shared" si="203"/>
        <v>37.2</v>
      </c>
      <c r="K335" s="42">
        <v>40000</v>
      </c>
      <c r="L335" s="42">
        <f t="shared" si="184"/>
        <v>1488000</v>
      </c>
      <c r="M335" s="42">
        <v>1</v>
      </c>
      <c r="N335" s="42" t="s">
        <v>64</v>
      </c>
      <c r="O335" s="101" t="s">
        <v>446</v>
      </c>
      <c r="P335" s="45">
        <v>2</v>
      </c>
      <c r="Q335" s="100">
        <v>148.68</v>
      </c>
      <c r="R335" s="100">
        <v>92.54</v>
      </c>
      <c r="S335" s="42">
        <v>6550</v>
      </c>
      <c r="T335" s="12">
        <f t="shared" si="204"/>
        <v>973854</v>
      </c>
      <c r="U335" s="102" t="s">
        <v>99</v>
      </c>
      <c r="V335" s="12">
        <f>+T335*0.56</f>
        <v>545358.2400000001</v>
      </c>
      <c r="W335" s="12">
        <f t="shared" si="205"/>
        <v>428495.7599999999</v>
      </c>
      <c r="X335" s="116"/>
      <c r="Y335" s="117">
        <f>+L335*(R335/100)+W335</f>
        <v>1805490.96</v>
      </c>
      <c r="Z335" s="12"/>
      <c r="AA335" s="12">
        <f t="shared" si="206"/>
        <v>1805490.96</v>
      </c>
      <c r="AB335" s="12">
        <v>0.02</v>
      </c>
      <c r="AC335" s="12">
        <f t="shared" si="207"/>
        <v>361.098192</v>
      </c>
      <c r="AD335" s="42"/>
      <c r="AE335" s="12"/>
    </row>
    <row r="336" spans="1:31" s="46" customFormat="1" ht="21">
      <c r="A336" s="42" t="s">
        <v>0</v>
      </c>
      <c r="B336" s="42"/>
      <c r="C336" s="45"/>
      <c r="D336" s="45"/>
      <c r="E336" s="31"/>
      <c r="F336" s="47"/>
      <c r="G336" s="42"/>
      <c r="H336" s="42"/>
      <c r="I336" s="44"/>
      <c r="J336" s="44">
        <f t="shared" si="203"/>
        <v>0</v>
      </c>
      <c r="K336" s="42"/>
      <c r="L336" s="42">
        <f>+K336*J336</f>
        <v>0</v>
      </c>
      <c r="M336" s="42">
        <v>2</v>
      </c>
      <c r="N336" s="42" t="s">
        <v>64</v>
      </c>
      <c r="O336" s="101" t="s">
        <v>446</v>
      </c>
      <c r="P336" s="45">
        <v>3</v>
      </c>
      <c r="Q336" s="100">
        <v>12</v>
      </c>
      <c r="R336" s="100">
        <v>7.46</v>
      </c>
      <c r="S336" s="42">
        <v>6550</v>
      </c>
      <c r="T336" s="12">
        <f t="shared" si="204"/>
        <v>78600</v>
      </c>
      <c r="U336" s="102" t="s">
        <v>99</v>
      </c>
      <c r="V336" s="12">
        <f>+T336*0.56</f>
        <v>44016.00000000001</v>
      </c>
      <c r="W336" s="12">
        <f t="shared" si="205"/>
        <v>34583.99999999999</v>
      </c>
      <c r="X336" s="116"/>
      <c r="Y336" s="117">
        <f>+L335*(R336/100)+W336</f>
        <v>145588.8</v>
      </c>
      <c r="Z336" s="12"/>
      <c r="AA336" s="12">
        <f t="shared" si="206"/>
        <v>145588.8</v>
      </c>
      <c r="AB336" s="12">
        <v>0.3</v>
      </c>
      <c r="AC336" s="12">
        <f t="shared" si="207"/>
        <v>436.7663999999999</v>
      </c>
      <c r="AD336" s="42"/>
      <c r="AE336" s="12"/>
    </row>
    <row r="337" spans="1:31" s="46" customFormat="1" ht="21">
      <c r="A337" s="42" t="s">
        <v>0</v>
      </c>
      <c r="B337" s="42" t="s">
        <v>1</v>
      </c>
      <c r="C337" s="45" t="s">
        <v>1456</v>
      </c>
      <c r="D337" s="45" t="s">
        <v>313</v>
      </c>
      <c r="E337" s="29" t="s">
        <v>907</v>
      </c>
      <c r="F337" s="47" t="s">
        <v>137</v>
      </c>
      <c r="G337" s="42"/>
      <c r="H337" s="42"/>
      <c r="I337" s="44">
        <v>88.8</v>
      </c>
      <c r="J337" s="44">
        <f t="shared" si="203"/>
        <v>88.8</v>
      </c>
      <c r="K337" s="42">
        <v>6000</v>
      </c>
      <c r="L337" s="42">
        <f t="shared" si="184"/>
        <v>532800</v>
      </c>
      <c r="M337" s="42"/>
      <c r="N337" s="42" t="s">
        <v>64</v>
      </c>
      <c r="O337" s="101" t="s">
        <v>446</v>
      </c>
      <c r="P337" s="45">
        <v>2</v>
      </c>
      <c r="Q337" s="100">
        <v>18</v>
      </c>
      <c r="R337" s="100"/>
      <c r="S337" s="42">
        <v>6550</v>
      </c>
      <c r="T337" s="12">
        <f t="shared" si="204"/>
        <v>117900</v>
      </c>
      <c r="U337" s="45" t="s">
        <v>314</v>
      </c>
      <c r="V337" s="12">
        <f>+T337*0.1</f>
        <v>11790</v>
      </c>
      <c r="W337" s="12">
        <f t="shared" si="205"/>
        <v>106110</v>
      </c>
      <c r="X337" s="116"/>
      <c r="Y337" s="117">
        <f aca="true" t="shared" si="208" ref="Y337:Y347">+L337+W337</f>
        <v>638910</v>
      </c>
      <c r="Z337" s="12"/>
      <c r="AA337" s="12">
        <f t="shared" si="206"/>
        <v>638910</v>
      </c>
      <c r="AB337" s="12">
        <v>0.02</v>
      </c>
      <c r="AC337" s="12">
        <f t="shared" si="207"/>
        <v>127.78200000000001</v>
      </c>
      <c r="AD337" s="42"/>
      <c r="AE337" s="12"/>
    </row>
    <row r="338" spans="1:31" s="46" customFormat="1" ht="21">
      <c r="A338" s="42" t="s">
        <v>0</v>
      </c>
      <c r="B338" s="42"/>
      <c r="C338" s="45"/>
      <c r="D338" s="45"/>
      <c r="E338" s="31"/>
      <c r="F338" s="47" t="s">
        <v>177</v>
      </c>
      <c r="G338" s="42">
        <v>4</v>
      </c>
      <c r="H338" s="42">
        <v>2</v>
      </c>
      <c r="I338" s="44"/>
      <c r="J338" s="44">
        <f t="shared" si="203"/>
        <v>1800</v>
      </c>
      <c r="K338" s="42">
        <v>6000</v>
      </c>
      <c r="L338" s="42">
        <f t="shared" si="184"/>
        <v>10800000</v>
      </c>
      <c r="M338" s="42"/>
      <c r="N338" s="42"/>
      <c r="O338" s="101"/>
      <c r="P338" s="45"/>
      <c r="Q338" s="42"/>
      <c r="R338" s="100"/>
      <c r="S338" s="42"/>
      <c r="T338" s="12">
        <f t="shared" si="204"/>
        <v>0</v>
      </c>
      <c r="U338" s="45"/>
      <c r="V338" s="12">
        <f>+T338*0</f>
        <v>0</v>
      </c>
      <c r="W338" s="12">
        <f t="shared" si="205"/>
        <v>0</v>
      </c>
      <c r="X338" s="116"/>
      <c r="Y338" s="117">
        <f t="shared" si="208"/>
        <v>10800000</v>
      </c>
      <c r="Z338" s="12">
        <f>+Y338</f>
        <v>10800000</v>
      </c>
      <c r="AA338" s="12">
        <f t="shared" si="206"/>
        <v>0</v>
      </c>
      <c r="AB338" s="12"/>
      <c r="AC338" s="12">
        <f t="shared" si="207"/>
        <v>0</v>
      </c>
      <c r="AD338" s="42"/>
      <c r="AE338" s="12"/>
    </row>
    <row r="339" spans="1:31" s="46" customFormat="1" ht="21">
      <c r="A339" s="42" t="s">
        <v>0</v>
      </c>
      <c r="B339" s="42" t="s">
        <v>1</v>
      </c>
      <c r="C339" s="45" t="s">
        <v>1457</v>
      </c>
      <c r="D339" s="45" t="s">
        <v>315</v>
      </c>
      <c r="E339" s="29" t="s">
        <v>907</v>
      </c>
      <c r="F339" s="47" t="s">
        <v>137</v>
      </c>
      <c r="G339" s="42"/>
      <c r="H339" s="42">
        <v>1</v>
      </c>
      <c r="I339" s="44">
        <v>61</v>
      </c>
      <c r="J339" s="44">
        <f t="shared" si="203"/>
        <v>161</v>
      </c>
      <c r="K339" s="42">
        <v>8000</v>
      </c>
      <c r="L339" s="42">
        <f aca="true" t="shared" si="209" ref="L339:L358">+K339*J339</f>
        <v>1288000</v>
      </c>
      <c r="M339" s="42"/>
      <c r="N339" s="42" t="s">
        <v>64</v>
      </c>
      <c r="O339" s="101" t="s">
        <v>446</v>
      </c>
      <c r="P339" s="45">
        <v>2</v>
      </c>
      <c r="Q339" s="100">
        <v>192</v>
      </c>
      <c r="R339" s="100"/>
      <c r="S339" s="42">
        <v>6550</v>
      </c>
      <c r="T339" s="12">
        <f t="shared" si="204"/>
        <v>1257600</v>
      </c>
      <c r="U339" s="102" t="s">
        <v>74</v>
      </c>
      <c r="V339" s="12">
        <f>+T339*0.36</f>
        <v>452736</v>
      </c>
      <c r="W339" s="12">
        <f t="shared" si="205"/>
        <v>804864</v>
      </c>
      <c r="X339" s="116"/>
      <c r="Y339" s="117">
        <f t="shared" si="208"/>
        <v>2092864</v>
      </c>
      <c r="Z339" s="12">
        <f>+Y339</f>
        <v>2092864</v>
      </c>
      <c r="AA339" s="12">
        <f t="shared" si="206"/>
        <v>0</v>
      </c>
      <c r="AB339" s="12"/>
      <c r="AC339" s="12">
        <f t="shared" si="207"/>
        <v>0</v>
      </c>
      <c r="AD339" s="42" t="s">
        <v>906</v>
      </c>
      <c r="AE339" s="12"/>
    </row>
    <row r="340" spans="1:31" s="46" customFormat="1" ht="21">
      <c r="A340" s="42"/>
      <c r="B340" s="42"/>
      <c r="C340" s="45"/>
      <c r="D340" s="31"/>
      <c r="E340" s="31"/>
      <c r="F340" s="47"/>
      <c r="G340" s="42"/>
      <c r="H340" s="42"/>
      <c r="I340" s="44"/>
      <c r="J340" s="44">
        <f t="shared" si="203"/>
        <v>0</v>
      </c>
      <c r="K340" s="42"/>
      <c r="L340" s="42">
        <f t="shared" si="209"/>
        <v>0</v>
      </c>
      <c r="M340" s="42"/>
      <c r="N340" s="42"/>
      <c r="O340" s="101"/>
      <c r="P340" s="45"/>
      <c r="Q340" s="42"/>
      <c r="R340" s="42"/>
      <c r="S340" s="42"/>
      <c r="T340" s="12">
        <f t="shared" si="204"/>
        <v>0</v>
      </c>
      <c r="U340" s="45"/>
      <c r="V340" s="12">
        <f>+T340*0</f>
        <v>0</v>
      </c>
      <c r="W340" s="12">
        <f t="shared" si="205"/>
        <v>0</v>
      </c>
      <c r="X340" s="12"/>
      <c r="Y340" s="12">
        <f t="shared" si="208"/>
        <v>0</v>
      </c>
      <c r="Z340" s="12"/>
      <c r="AA340" s="12">
        <f t="shared" si="206"/>
        <v>0</v>
      </c>
      <c r="AB340" s="12"/>
      <c r="AC340" s="12">
        <f t="shared" si="207"/>
        <v>0</v>
      </c>
      <c r="AD340" s="42"/>
      <c r="AE340" s="12"/>
    </row>
    <row r="341" spans="1:31" s="46" customFormat="1" ht="21">
      <c r="A341" s="42"/>
      <c r="B341" s="42"/>
      <c r="C341" s="45"/>
      <c r="D341" s="31"/>
      <c r="E341" s="31"/>
      <c r="F341" s="47"/>
      <c r="G341" s="42"/>
      <c r="H341" s="42"/>
      <c r="I341" s="44"/>
      <c r="J341" s="44">
        <f t="shared" si="203"/>
        <v>0</v>
      </c>
      <c r="K341" s="42"/>
      <c r="L341" s="42">
        <f t="shared" si="209"/>
        <v>0</v>
      </c>
      <c r="M341" s="42"/>
      <c r="N341" s="42"/>
      <c r="O341" s="101"/>
      <c r="P341" s="45"/>
      <c r="Q341" s="42"/>
      <c r="R341" s="42"/>
      <c r="S341" s="42"/>
      <c r="T341" s="12">
        <f t="shared" si="204"/>
        <v>0</v>
      </c>
      <c r="U341" s="45"/>
      <c r="V341" s="12">
        <f>+T341*0</f>
        <v>0</v>
      </c>
      <c r="W341" s="12">
        <f t="shared" si="205"/>
        <v>0</v>
      </c>
      <c r="X341" s="12"/>
      <c r="Y341" s="12">
        <f t="shared" si="208"/>
        <v>0</v>
      </c>
      <c r="Z341" s="12"/>
      <c r="AA341" s="12">
        <f t="shared" si="206"/>
        <v>0</v>
      </c>
      <c r="AB341" s="12"/>
      <c r="AC341" s="12">
        <f t="shared" si="207"/>
        <v>0</v>
      </c>
      <c r="AD341" s="42"/>
      <c r="AE341" s="12"/>
    </row>
    <row r="342" spans="1:31" s="46" customFormat="1" ht="21">
      <c r="A342" s="42"/>
      <c r="B342" s="42"/>
      <c r="C342" s="45"/>
      <c r="D342" s="31"/>
      <c r="E342" s="31"/>
      <c r="F342" s="47"/>
      <c r="G342" s="42"/>
      <c r="H342" s="42"/>
      <c r="I342" s="44"/>
      <c r="J342" s="44">
        <f t="shared" si="203"/>
        <v>0</v>
      </c>
      <c r="K342" s="42"/>
      <c r="L342" s="42">
        <f t="shared" si="209"/>
        <v>0</v>
      </c>
      <c r="M342" s="42"/>
      <c r="N342" s="42"/>
      <c r="O342" s="101"/>
      <c r="P342" s="45"/>
      <c r="Q342" s="42"/>
      <c r="R342" s="42"/>
      <c r="S342" s="42"/>
      <c r="T342" s="12">
        <f t="shared" si="204"/>
        <v>0</v>
      </c>
      <c r="U342" s="45"/>
      <c r="V342" s="12">
        <f>+T342*0</f>
        <v>0</v>
      </c>
      <c r="W342" s="12">
        <f t="shared" si="205"/>
        <v>0</v>
      </c>
      <c r="X342" s="12"/>
      <c r="Y342" s="12">
        <f t="shared" si="208"/>
        <v>0</v>
      </c>
      <c r="Z342" s="12"/>
      <c r="AA342" s="12">
        <f t="shared" si="206"/>
        <v>0</v>
      </c>
      <c r="AB342" s="12"/>
      <c r="AC342" s="12">
        <f t="shared" si="207"/>
        <v>0</v>
      </c>
      <c r="AD342" s="42"/>
      <c r="AE342" s="12"/>
    </row>
    <row r="343" spans="1:31" s="46" customFormat="1" ht="21">
      <c r="A343" s="42" t="s">
        <v>0</v>
      </c>
      <c r="B343" s="42" t="s">
        <v>1</v>
      </c>
      <c r="C343" s="45" t="s">
        <v>1458</v>
      </c>
      <c r="D343" s="45" t="s">
        <v>316</v>
      </c>
      <c r="E343" s="10" t="s">
        <v>909</v>
      </c>
      <c r="F343" s="47" t="s">
        <v>137</v>
      </c>
      <c r="G343" s="42">
        <v>1</v>
      </c>
      <c r="H343" s="42"/>
      <c r="I343" s="44"/>
      <c r="J343" s="44">
        <f t="shared" si="203"/>
        <v>400</v>
      </c>
      <c r="K343" s="42">
        <v>6250</v>
      </c>
      <c r="L343" s="42">
        <f t="shared" si="209"/>
        <v>2500000</v>
      </c>
      <c r="M343" s="42"/>
      <c r="N343" s="42" t="s">
        <v>64</v>
      </c>
      <c r="O343" s="101" t="s">
        <v>446</v>
      </c>
      <c r="P343" s="45">
        <v>2</v>
      </c>
      <c r="Q343" s="100">
        <f>68+48</f>
        <v>116</v>
      </c>
      <c r="R343" s="100"/>
      <c r="S343" s="42">
        <v>6550</v>
      </c>
      <c r="T343" s="12">
        <f t="shared" si="204"/>
        <v>759800</v>
      </c>
      <c r="U343" s="102" t="s">
        <v>85</v>
      </c>
      <c r="V343" s="12">
        <f>+T343*0.22</f>
        <v>167156</v>
      </c>
      <c r="W343" s="12">
        <f t="shared" si="205"/>
        <v>592644</v>
      </c>
      <c r="X343" s="116"/>
      <c r="Y343" s="117">
        <f t="shared" si="208"/>
        <v>3092644</v>
      </c>
      <c r="Z343" s="12">
        <f>+Y343</f>
        <v>3092644</v>
      </c>
      <c r="AA343" s="12">
        <f t="shared" si="206"/>
        <v>0</v>
      </c>
      <c r="AB343" s="12"/>
      <c r="AC343" s="12">
        <f t="shared" si="207"/>
        <v>0</v>
      </c>
      <c r="AD343" s="42" t="s">
        <v>906</v>
      </c>
      <c r="AE343" s="12"/>
    </row>
    <row r="344" spans="1:31" s="46" customFormat="1" ht="21">
      <c r="A344" s="42" t="s">
        <v>0</v>
      </c>
      <c r="B344" s="42"/>
      <c r="C344" s="45"/>
      <c r="D344" s="45"/>
      <c r="E344" s="31"/>
      <c r="F344" s="47" t="s">
        <v>140</v>
      </c>
      <c r="G344" s="42">
        <v>5</v>
      </c>
      <c r="H344" s="42"/>
      <c r="I344" s="44">
        <v>62</v>
      </c>
      <c r="J344" s="44">
        <f t="shared" si="203"/>
        <v>2062</v>
      </c>
      <c r="K344" s="42">
        <v>6250</v>
      </c>
      <c r="L344" s="42">
        <f t="shared" si="209"/>
        <v>12887500</v>
      </c>
      <c r="M344" s="42"/>
      <c r="N344" s="42"/>
      <c r="O344" s="101"/>
      <c r="P344" s="45"/>
      <c r="Q344" s="42"/>
      <c r="R344" s="100"/>
      <c r="S344" s="42"/>
      <c r="T344" s="12">
        <f t="shared" si="204"/>
        <v>0</v>
      </c>
      <c r="U344" s="45"/>
      <c r="V344" s="12">
        <f>+T344*0</f>
        <v>0</v>
      </c>
      <c r="W344" s="12">
        <f t="shared" si="205"/>
        <v>0</v>
      </c>
      <c r="X344" s="116"/>
      <c r="Y344" s="117">
        <f t="shared" si="208"/>
        <v>12887500</v>
      </c>
      <c r="Z344" s="12"/>
      <c r="AA344" s="12">
        <f t="shared" si="206"/>
        <v>12887500</v>
      </c>
      <c r="AB344" s="12">
        <v>0.3</v>
      </c>
      <c r="AC344" s="12">
        <f t="shared" si="207"/>
        <v>38662.5</v>
      </c>
      <c r="AD344" s="42"/>
      <c r="AE344" s="12"/>
    </row>
    <row r="345" spans="1:31" s="46" customFormat="1" ht="21">
      <c r="A345" s="42"/>
      <c r="B345" s="42"/>
      <c r="C345" s="45"/>
      <c r="D345" s="31"/>
      <c r="E345" s="31"/>
      <c r="F345" s="47"/>
      <c r="G345" s="42"/>
      <c r="H345" s="42"/>
      <c r="I345" s="44"/>
      <c r="J345" s="44">
        <f t="shared" si="203"/>
        <v>0</v>
      </c>
      <c r="K345" s="42"/>
      <c r="L345" s="42">
        <f t="shared" si="209"/>
        <v>0</v>
      </c>
      <c r="M345" s="42"/>
      <c r="N345" s="42"/>
      <c r="O345" s="101"/>
      <c r="P345" s="45"/>
      <c r="Q345" s="42"/>
      <c r="R345" s="42"/>
      <c r="S345" s="42"/>
      <c r="T345" s="12">
        <f t="shared" si="204"/>
        <v>0</v>
      </c>
      <c r="U345" s="45"/>
      <c r="V345" s="12">
        <f>+T345*0</f>
        <v>0</v>
      </c>
      <c r="W345" s="12">
        <f t="shared" si="205"/>
        <v>0</v>
      </c>
      <c r="X345" s="12"/>
      <c r="Y345" s="12">
        <f t="shared" si="208"/>
        <v>0</v>
      </c>
      <c r="Z345" s="12"/>
      <c r="AA345" s="12">
        <f t="shared" si="206"/>
        <v>0</v>
      </c>
      <c r="AB345" s="12"/>
      <c r="AC345" s="12">
        <f t="shared" si="207"/>
        <v>0</v>
      </c>
      <c r="AD345" s="42"/>
      <c r="AE345" s="12"/>
    </row>
    <row r="346" spans="1:31" s="46" customFormat="1" ht="21">
      <c r="A346" s="42"/>
      <c r="B346" s="42"/>
      <c r="C346" s="45"/>
      <c r="D346" s="31"/>
      <c r="E346" s="31"/>
      <c r="F346" s="47"/>
      <c r="G346" s="42"/>
      <c r="H346" s="42"/>
      <c r="I346" s="44"/>
      <c r="J346" s="44">
        <f t="shared" si="203"/>
        <v>0</v>
      </c>
      <c r="K346" s="42"/>
      <c r="L346" s="42">
        <f t="shared" si="209"/>
        <v>0</v>
      </c>
      <c r="M346" s="42"/>
      <c r="N346" s="42"/>
      <c r="O346" s="101"/>
      <c r="P346" s="45"/>
      <c r="Q346" s="42"/>
      <c r="R346" s="42"/>
      <c r="S346" s="42"/>
      <c r="T346" s="12">
        <f t="shared" si="204"/>
        <v>0</v>
      </c>
      <c r="U346" s="45"/>
      <c r="V346" s="12">
        <f>+T346*0</f>
        <v>0</v>
      </c>
      <c r="W346" s="12">
        <f t="shared" si="205"/>
        <v>0</v>
      </c>
      <c r="X346" s="12"/>
      <c r="Y346" s="12">
        <f t="shared" si="208"/>
        <v>0</v>
      </c>
      <c r="Z346" s="12"/>
      <c r="AA346" s="12">
        <f t="shared" si="206"/>
        <v>0</v>
      </c>
      <c r="AB346" s="12"/>
      <c r="AC346" s="12">
        <f t="shared" si="207"/>
        <v>0</v>
      </c>
      <c r="AD346" s="42"/>
      <c r="AE346" s="12"/>
    </row>
    <row r="347" spans="1:31" s="46" customFormat="1" ht="21">
      <c r="A347" s="42"/>
      <c r="B347" s="42"/>
      <c r="C347" s="45"/>
      <c r="D347" s="31"/>
      <c r="E347" s="31"/>
      <c r="F347" s="47"/>
      <c r="G347" s="42"/>
      <c r="H347" s="42"/>
      <c r="I347" s="44"/>
      <c r="J347" s="44">
        <f t="shared" si="203"/>
        <v>0</v>
      </c>
      <c r="K347" s="42"/>
      <c r="L347" s="42">
        <f t="shared" si="209"/>
        <v>0</v>
      </c>
      <c r="M347" s="42"/>
      <c r="N347" s="42"/>
      <c r="O347" s="101"/>
      <c r="P347" s="45"/>
      <c r="Q347" s="42"/>
      <c r="R347" s="42"/>
      <c r="S347" s="42"/>
      <c r="T347" s="12">
        <f t="shared" si="204"/>
        <v>0</v>
      </c>
      <c r="U347" s="45"/>
      <c r="V347" s="12">
        <f>+T347*0</f>
        <v>0</v>
      </c>
      <c r="W347" s="12">
        <f t="shared" si="205"/>
        <v>0</v>
      </c>
      <c r="X347" s="12"/>
      <c r="Y347" s="12">
        <f t="shared" si="208"/>
        <v>0</v>
      </c>
      <c r="Z347" s="12"/>
      <c r="AA347" s="12">
        <f t="shared" si="206"/>
        <v>0</v>
      </c>
      <c r="AB347" s="12"/>
      <c r="AC347" s="12">
        <f t="shared" si="207"/>
        <v>0</v>
      </c>
      <c r="AD347" s="42"/>
      <c r="AE347" s="12"/>
    </row>
    <row r="348" spans="1:31" s="46" customFormat="1" ht="21">
      <c r="A348" s="42" t="s">
        <v>0</v>
      </c>
      <c r="B348" s="42" t="s">
        <v>1</v>
      </c>
      <c r="C348" s="45" t="s">
        <v>1459</v>
      </c>
      <c r="D348" s="45" t="s">
        <v>317</v>
      </c>
      <c r="E348" s="30" t="s">
        <v>908</v>
      </c>
      <c r="F348" s="47" t="s">
        <v>167</v>
      </c>
      <c r="G348" s="42"/>
      <c r="H348" s="42"/>
      <c r="I348" s="44">
        <v>19.1</v>
      </c>
      <c r="J348" s="44">
        <f aca="true" t="shared" si="210" ref="J348:J353">+I348+(H348*100)+(G348*400)</f>
        <v>19.1</v>
      </c>
      <c r="K348" s="42">
        <v>60000</v>
      </c>
      <c r="L348" s="42">
        <f t="shared" si="209"/>
        <v>1146000</v>
      </c>
      <c r="M348" s="42">
        <v>1</v>
      </c>
      <c r="N348" s="42" t="s">
        <v>61</v>
      </c>
      <c r="O348" s="101" t="s">
        <v>454</v>
      </c>
      <c r="P348" s="45">
        <v>2</v>
      </c>
      <c r="Q348" s="100">
        <v>35</v>
      </c>
      <c r="R348" s="100">
        <v>38.9</v>
      </c>
      <c r="S348" s="42">
        <v>6650</v>
      </c>
      <c r="T348" s="12">
        <f aca="true" t="shared" si="211" ref="T348:T353">+Q348*S348</f>
        <v>232750</v>
      </c>
      <c r="U348" s="102" t="s">
        <v>459</v>
      </c>
      <c r="V348" s="12">
        <f>+T348*0.93</f>
        <v>216457.5</v>
      </c>
      <c r="W348" s="12">
        <f aca="true" t="shared" si="212" ref="W348:W353">+T348-V348</f>
        <v>16292.5</v>
      </c>
      <c r="X348" s="116"/>
      <c r="Y348" s="117">
        <f>+L348*(R348/100)+W348</f>
        <v>462086.5</v>
      </c>
      <c r="Z348" s="12">
        <f>+Y348</f>
        <v>462086.5</v>
      </c>
      <c r="AA348" s="12">
        <f aca="true" t="shared" si="213" ref="AA348:AA353">+Y348-Z348</f>
        <v>0</v>
      </c>
      <c r="AB348" s="12"/>
      <c r="AC348" s="12">
        <f aca="true" t="shared" si="214" ref="AC348:AC353">+AA348*AB348/100</f>
        <v>0</v>
      </c>
      <c r="AD348" s="42" t="s">
        <v>906</v>
      </c>
      <c r="AE348" s="12"/>
    </row>
    <row r="349" spans="1:31" s="46" customFormat="1" ht="21">
      <c r="A349" s="42" t="s">
        <v>0</v>
      </c>
      <c r="B349" s="42"/>
      <c r="C349" s="45"/>
      <c r="D349" s="45"/>
      <c r="E349" s="31"/>
      <c r="F349" s="47"/>
      <c r="G349" s="42"/>
      <c r="H349" s="42"/>
      <c r="I349" s="44"/>
      <c r="J349" s="44">
        <f t="shared" si="210"/>
        <v>0</v>
      </c>
      <c r="K349" s="42"/>
      <c r="L349" s="42">
        <f>+K349*J349</f>
        <v>0</v>
      </c>
      <c r="M349" s="42">
        <v>2</v>
      </c>
      <c r="N349" s="42" t="s">
        <v>61</v>
      </c>
      <c r="O349" s="101" t="s">
        <v>454</v>
      </c>
      <c r="P349" s="45">
        <v>2</v>
      </c>
      <c r="Q349" s="100">
        <v>35</v>
      </c>
      <c r="R349" s="100">
        <v>38.88</v>
      </c>
      <c r="S349" s="42">
        <v>6650</v>
      </c>
      <c r="T349" s="12">
        <f t="shared" si="211"/>
        <v>232750</v>
      </c>
      <c r="U349" s="102" t="s">
        <v>459</v>
      </c>
      <c r="V349" s="12">
        <f>+T349*0.93</f>
        <v>216457.5</v>
      </c>
      <c r="W349" s="12">
        <f t="shared" si="212"/>
        <v>16292.5</v>
      </c>
      <c r="X349" s="116"/>
      <c r="Y349" s="117">
        <f>+L348*(R349/100)+W349</f>
        <v>461857.30000000005</v>
      </c>
      <c r="Z349" s="12"/>
      <c r="AA349" s="12">
        <f t="shared" si="213"/>
        <v>461857.30000000005</v>
      </c>
      <c r="AB349" s="12">
        <v>0.02</v>
      </c>
      <c r="AC349" s="12">
        <f t="shared" si="214"/>
        <v>92.37146000000001</v>
      </c>
      <c r="AD349" s="42"/>
      <c r="AE349" s="12"/>
    </row>
    <row r="350" spans="1:31" s="46" customFormat="1" ht="21">
      <c r="A350" s="42" t="s">
        <v>0</v>
      </c>
      <c r="B350" s="42"/>
      <c r="C350" s="45"/>
      <c r="D350" s="45"/>
      <c r="E350" s="31"/>
      <c r="F350" s="47"/>
      <c r="G350" s="42"/>
      <c r="H350" s="42"/>
      <c r="I350" s="44"/>
      <c r="J350" s="44">
        <f t="shared" si="210"/>
        <v>0</v>
      </c>
      <c r="K350" s="42"/>
      <c r="L350" s="42">
        <f t="shared" si="209"/>
        <v>0</v>
      </c>
      <c r="M350" s="42">
        <v>3</v>
      </c>
      <c r="N350" s="42" t="s">
        <v>61</v>
      </c>
      <c r="O350" s="101" t="s">
        <v>446</v>
      </c>
      <c r="P350" s="45">
        <v>3</v>
      </c>
      <c r="Q350" s="100">
        <v>20</v>
      </c>
      <c r="R350" s="100">
        <v>22.22</v>
      </c>
      <c r="S350" s="42">
        <v>6650</v>
      </c>
      <c r="T350" s="12">
        <f t="shared" si="211"/>
        <v>133000</v>
      </c>
      <c r="U350" s="102" t="s">
        <v>74</v>
      </c>
      <c r="V350" s="12">
        <f>+T350*0.36</f>
        <v>47880</v>
      </c>
      <c r="W350" s="12">
        <f t="shared" si="212"/>
        <v>85120</v>
      </c>
      <c r="X350" s="116"/>
      <c r="Y350" s="117">
        <f>+L348*(R350/100)+W350</f>
        <v>339761.19999999995</v>
      </c>
      <c r="Z350" s="12"/>
      <c r="AA350" s="12">
        <f t="shared" si="213"/>
        <v>339761.19999999995</v>
      </c>
      <c r="AB350" s="12">
        <v>0.3</v>
      </c>
      <c r="AC350" s="12">
        <f t="shared" si="214"/>
        <v>1019.2835999999999</v>
      </c>
      <c r="AD350" s="42"/>
      <c r="AE350" s="12"/>
    </row>
    <row r="351" spans="1:31" s="46" customFormat="1" ht="21">
      <c r="A351" s="42" t="s">
        <v>0</v>
      </c>
      <c r="B351" s="42" t="s">
        <v>1</v>
      </c>
      <c r="C351" s="45" t="s">
        <v>1460</v>
      </c>
      <c r="D351" s="45" t="s">
        <v>318</v>
      </c>
      <c r="E351" s="10" t="s">
        <v>909</v>
      </c>
      <c r="F351" s="47" t="s">
        <v>140</v>
      </c>
      <c r="G351" s="42"/>
      <c r="H351" s="42"/>
      <c r="I351" s="44">
        <v>49.8</v>
      </c>
      <c r="J351" s="44">
        <f t="shared" si="210"/>
        <v>49.8</v>
      </c>
      <c r="K351" s="42">
        <v>6000</v>
      </c>
      <c r="L351" s="42">
        <f t="shared" si="209"/>
        <v>298800</v>
      </c>
      <c r="M351" s="42"/>
      <c r="N351" s="42"/>
      <c r="O351" s="101"/>
      <c r="P351" s="45"/>
      <c r="Q351" s="42"/>
      <c r="R351" s="100"/>
      <c r="S351" s="42"/>
      <c r="T351" s="12">
        <f t="shared" si="211"/>
        <v>0</v>
      </c>
      <c r="U351" s="45"/>
      <c r="V351" s="12">
        <f>+T351*0</f>
        <v>0</v>
      </c>
      <c r="W351" s="12">
        <f t="shared" si="212"/>
        <v>0</v>
      </c>
      <c r="X351" s="116"/>
      <c r="Y351" s="117">
        <f aca="true" t="shared" si="215" ref="Y351:Y359">+L351+W351</f>
        <v>298800</v>
      </c>
      <c r="Z351" s="12"/>
      <c r="AA351" s="12">
        <f t="shared" si="213"/>
        <v>298800</v>
      </c>
      <c r="AB351" s="12">
        <v>0.3</v>
      </c>
      <c r="AC351" s="12">
        <f t="shared" si="214"/>
        <v>896.4</v>
      </c>
      <c r="AD351" s="42"/>
      <c r="AE351" s="12"/>
    </row>
    <row r="352" spans="1:31" s="46" customFormat="1" ht="21">
      <c r="A352" s="42" t="s">
        <v>0</v>
      </c>
      <c r="B352" s="42" t="s">
        <v>1</v>
      </c>
      <c r="C352" s="45" t="s">
        <v>1461</v>
      </c>
      <c r="D352" s="45" t="s">
        <v>319</v>
      </c>
      <c r="E352" s="30" t="s">
        <v>908</v>
      </c>
      <c r="F352" s="47" t="s">
        <v>143</v>
      </c>
      <c r="G352" s="42"/>
      <c r="H352" s="42"/>
      <c r="I352" s="44">
        <v>15.3</v>
      </c>
      <c r="J352" s="44">
        <f t="shared" si="210"/>
        <v>15.3</v>
      </c>
      <c r="K352" s="42">
        <v>60000</v>
      </c>
      <c r="L352" s="42">
        <f t="shared" si="209"/>
        <v>918000</v>
      </c>
      <c r="M352" s="42"/>
      <c r="N352" s="42" t="s">
        <v>1603</v>
      </c>
      <c r="O352" s="101"/>
      <c r="P352" s="45"/>
      <c r="Q352" s="100"/>
      <c r="R352" s="100"/>
      <c r="S352" s="42"/>
      <c r="T352" s="12">
        <f t="shared" si="211"/>
        <v>0</v>
      </c>
      <c r="U352" s="45"/>
      <c r="V352" s="12">
        <f>+T352*0.02</f>
        <v>0</v>
      </c>
      <c r="W352" s="12">
        <f t="shared" si="212"/>
        <v>0</v>
      </c>
      <c r="X352" s="116"/>
      <c r="Y352" s="117">
        <f t="shared" si="215"/>
        <v>918000</v>
      </c>
      <c r="Z352" s="12"/>
      <c r="AA352" s="12">
        <f t="shared" si="213"/>
        <v>918000</v>
      </c>
      <c r="AB352" s="12">
        <v>0.3</v>
      </c>
      <c r="AC352" s="12">
        <f t="shared" si="214"/>
        <v>2754</v>
      </c>
      <c r="AD352" s="42"/>
      <c r="AE352" s="12"/>
    </row>
    <row r="353" spans="1:31" s="46" customFormat="1" ht="21">
      <c r="A353" s="42" t="s">
        <v>0</v>
      </c>
      <c r="B353" s="42" t="s">
        <v>1</v>
      </c>
      <c r="C353" s="45" t="s">
        <v>1462</v>
      </c>
      <c r="D353" s="45" t="s">
        <v>320</v>
      </c>
      <c r="E353" s="30" t="s">
        <v>908</v>
      </c>
      <c r="F353" s="47" t="s">
        <v>137</v>
      </c>
      <c r="G353" s="42"/>
      <c r="H353" s="42"/>
      <c r="I353" s="44">
        <v>14.3</v>
      </c>
      <c r="J353" s="44">
        <f t="shared" si="210"/>
        <v>14.3</v>
      </c>
      <c r="K353" s="42">
        <v>60000</v>
      </c>
      <c r="L353" s="42">
        <f t="shared" si="209"/>
        <v>858000</v>
      </c>
      <c r="M353" s="42"/>
      <c r="N353" s="42" t="s">
        <v>64</v>
      </c>
      <c r="O353" s="101" t="s">
        <v>446</v>
      </c>
      <c r="P353" s="45">
        <v>2</v>
      </c>
      <c r="Q353" s="100">
        <v>84</v>
      </c>
      <c r="R353" s="100"/>
      <c r="S353" s="42">
        <v>6550</v>
      </c>
      <c r="T353" s="12">
        <f t="shared" si="211"/>
        <v>550200</v>
      </c>
      <c r="U353" s="102" t="s">
        <v>101</v>
      </c>
      <c r="V353" s="12">
        <f>+T353*0.62</f>
        <v>341124</v>
      </c>
      <c r="W353" s="12">
        <f t="shared" si="212"/>
        <v>209076</v>
      </c>
      <c r="X353" s="116"/>
      <c r="Y353" s="117">
        <f t="shared" si="215"/>
        <v>1067076</v>
      </c>
      <c r="Z353" s="12"/>
      <c r="AA353" s="12">
        <f t="shared" si="213"/>
        <v>1067076</v>
      </c>
      <c r="AB353" s="12">
        <v>0.02</v>
      </c>
      <c r="AC353" s="12">
        <f t="shared" si="214"/>
        <v>213.4152</v>
      </c>
      <c r="AD353" s="42"/>
      <c r="AE353" s="12"/>
    </row>
    <row r="354" spans="1:31" s="46" customFormat="1" ht="21">
      <c r="A354" s="42" t="s">
        <v>0</v>
      </c>
      <c r="B354" s="42" t="s">
        <v>1</v>
      </c>
      <c r="C354" s="45" t="s">
        <v>322</v>
      </c>
      <c r="D354" s="51" t="s">
        <v>322</v>
      </c>
      <c r="E354" s="29" t="s">
        <v>907</v>
      </c>
      <c r="F354" s="47" t="s">
        <v>137</v>
      </c>
      <c r="G354" s="42"/>
      <c r="H354" s="42"/>
      <c r="I354" s="44">
        <v>18</v>
      </c>
      <c r="J354" s="44">
        <f aca="true" t="shared" si="216" ref="J354:J363">+I354+(H354*100)+(G354*400)</f>
        <v>18</v>
      </c>
      <c r="K354" s="42">
        <v>8000</v>
      </c>
      <c r="L354" s="42">
        <f t="shared" si="209"/>
        <v>144000</v>
      </c>
      <c r="M354" s="42"/>
      <c r="N354" s="42" t="s">
        <v>62</v>
      </c>
      <c r="O354" s="101" t="s">
        <v>446</v>
      </c>
      <c r="P354" s="45">
        <v>2</v>
      </c>
      <c r="Q354" s="100">
        <v>26</v>
      </c>
      <c r="R354" s="100"/>
      <c r="S354" s="42">
        <v>6750</v>
      </c>
      <c r="T354" s="12">
        <f aca="true" t="shared" si="217" ref="T354:T363">+Q354*S354</f>
        <v>175500</v>
      </c>
      <c r="U354" s="102" t="s">
        <v>98</v>
      </c>
      <c r="V354" s="12">
        <f>+T354*0.54</f>
        <v>94770</v>
      </c>
      <c r="W354" s="12">
        <f aca="true" t="shared" si="218" ref="W354:W363">+T354-V354</f>
        <v>80730</v>
      </c>
      <c r="X354" s="116"/>
      <c r="Y354" s="117">
        <f t="shared" si="215"/>
        <v>224730</v>
      </c>
      <c r="Z354" s="12">
        <f>+Y354</f>
        <v>224730</v>
      </c>
      <c r="AA354" s="12">
        <f aca="true" t="shared" si="219" ref="AA354:AA363">+Y354-Z354</f>
        <v>0</v>
      </c>
      <c r="AB354" s="12"/>
      <c r="AC354" s="12">
        <f aca="true" t="shared" si="220" ref="AC354:AC363">+AA354*AB354/100</f>
        <v>0</v>
      </c>
      <c r="AD354" s="42" t="s">
        <v>906</v>
      </c>
      <c r="AE354" s="12"/>
    </row>
    <row r="355" spans="1:31" s="46" customFormat="1" ht="21">
      <c r="A355" s="42" t="s">
        <v>0</v>
      </c>
      <c r="B355" s="42" t="s">
        <v>1</v>
      </c>
      <c r="C355" s="45" t="s">
        <v>323</v>
      </c>
      <c r="D355" s="51" t="s">
        <v>323</v>
      </c>
      <c r="E355" s="29" t="s">
        <v>907</v>
      </c>
      <c r="F355" s="47" t="s">
        <v>137</v>
      </c>
      <c r="G355" s="42"/>
      <c r="H355" s="42"/>
      <c r="I355" s="44">
        <v>18.2</v>
      </c>
      <c r="J355" s="44">
        <f t="shared" si="216"/>
        <v>18.2</v>
      </c>
      <c r="K355" s="42">
        <v>8000</v>
      </c>
      <c r="L355" s="42">
        <f t="shared" si="209"/>
        <v>145600</v>
      </c>
      <c r="M355" s="42"/>
      <c r="N355" s="42" t="s">
        <v>62</v>
      </c>
      <c r="O355" s="101" t="s">
        <v>446</v>
      </c>
      <c r="P355" s="45">
        <v>2</v>
      </c>
      <c r="Q355" s="100">
        <v>55.2</v>
      </c>
      <c r="R355" s="100"/>
      <c r="S355" s="42">
        <v>6750</v>
      </c>
      <c r="T355" s="12">
        <f t="shared" si="217"/>
        <v>372600</v>
      </c>
      <c r="U355" s="102" t="s">
        <v>98</v>
      </c>
      <c r="V355" s="12">
        <f>+T355*0.54</f>
        <v>201204</v>
      </c>
      <c r="W355" s="12">
        <f t="shared" si="218"/>
        <v>171396</v>
      </c>
      <c r="X355" s="116"/>
      <c r="Y355" s="117">
        <f t="shared" si="215"/>
        <v>316996</v>
      </c>
      <c r="Z355" s="12"/>
      <c r="AA355" s="12">
        <f t="shared" si="219"/>
        <v>316996</v>
      </c>
      <c r="AB355" s="12">
        <v>0.02</v>
      </c>
      <c r="AC355" s="12">
        <f t="shared" si="220"/>
        <v>63.3992</v>
      </c>
      <c r="AD355" s="42"/>
      <c r="AE355" s="12"/>
    </row>
    <row r="356" spans="1:31" s="46" customFormat="1" ht="21">
      <c r="A356" s="42" t="s">
        <v>0</v>
      </c>
      <c r="B356" s="42" t="s">
        <v>1</v>
      </c>
      <c r="C356" s="45" t="s">
        <v>1463</v>
      </c>
      <c r="D356" s="45" t="s">
        <v>324</v>
      </c>
      <c r="E356" s="29" t="s">
        <v>907</v>
      </c>
      <c r="F356" s="47" t="s">
        <v>137</v>
      </c>
      <c r="G356" s="42"/>
      <c r="H356" s="42"/>
      <c r="I356" s="44">
        <v>22.5</v>
      </c>
      <c r="J356" s="44">
        <f t="shared" si="216"/>
        <v>22.5</v>
      </c>
      <c r="K356" s="42">
        <v>15000</v>
      </c>
      <c r="L356" s="42">
        <f t="shared" si="209"/>
        <v>337500</v>
      </c>
      <c r="M356" s="42"/>
      <c r="N356" s="42" t="s">
        <v>62</v>
      </c>
      <c r="O356" s="101" t="s">
        <v>446</v>
      </c>
      <c r="P356" s="45">
        <v>2</v>
      </c>
      <c r="Q356" s="100">
        <v>60</v>
      </c>
      <c r="R356" s="100"/>
      <c r="S356" s="42">
        <v>6750</v>
      </c>
      <c r="T356" s="12">
        <f t="shared" si="217"/>
        <v>405000</v>
      </c>
      <c r="U356" s="102" t="s">
        <v>90</v>
      </c>
      <c r="V356" s="12">
        <f>+T356*0.38</f>
        <v>153900</v>
      </c>
      <c r="W356" s="12">
        <f t="shared" si="218"/>
        <v>251100</v>
      </c>
      <c r="X356" s="116"/>
      <c r="Y356" s="117">
        <f t="shared" si="215"/>
        <v>588600</v>
      </c>
      <c r="Z356" s="12"/>
      <c r="AA356" s="12">
        <f t="shared" si="219"/>
        <v>588600</v>
      </c>
      <c r="AB356" s="12">
        <v>0.02</v>
      </c>
      <c r="AC356" s="12">
        <f t="shared" si="220"/>
        <v>117.72</v>
      </c>
      <c r="AD356" s="42"/>
      <c r="AE356" s="12"/>
    </row>
    <row r="357" spans="1:31" s="46" customFormat="1" ht="21">
      <c r="A357" s="42"/>
      <c r="B357" s="42"/>
      <c r="C357" s="45"/>
      <c r="D357" s="31"/>
      <c r="E357" s="31"/>
      <c r="F357" s="47"/>
      <c r="G357" s="42"/>
      <c r="H357" s="42"/>
      <c r="I357" s="44"/>
      <c r="J357" s="44">
        <f t="shared" si="216"/>
        <v>0</v>
      </c>
      <c r="K357" s="42"/>
      <c r="L357" s="42">
        <f t="shared" si="209"/>
        <v>0</v>
      </c>
      <c r="M357" s="42"/>
      <c r="N357" s="42"/>
      <c r="O357" s="101"/>
      <c r="P357" s="45"/>
      <c r="Q357" s="42"/>
      <c r="R357" s="42"/>
      <c r="S357" s="42"/>
      <c r="T357" s="12">
        <f t="shared" si="217"/>
        <v>0</v>
      </c>
      <c r="U357" s="45"/>
      <c r="V357" s="12">
        <f>+T357*0</f>
        <v>0</v>
      </c>
      <c r="W357" s="12">
        <f t="shared" si="218"/>
        <v>0</v>
      </c>
      <c r="X357" s="12"/>
      <c r="Y357" s="12">
        <f t="shared" si="215"/>
        <v>0</v>
      </c>
      <c r="Z357" s="12"/>
      <c r="AA357" s="12">
        <f t="shared" si="219"/>
        <v>0</v>
      </c>
      <c r="AB357" s="12"/>
      <c r="AC357" s="12">
        <f t="shared" si="220"/>
        <v>0</v>
      </c>
      <c r="AD357" s="42"/>
      <c r="AE357" s="12"/>
    </row>
    <row r="358" spans="1:31" s="46" customFormat="1" ht="21">
      <c r="A358" s="42"/>
      <c r="B358" s="42"/>
      <c r="C358" s="45"/>
      <c r="D358" s="31"/>
      <c r="E358" s="31"/>
      <c r="F358" s="47"/>
      <c r="G358" s="42"/>
      <c r="H358" s="42"/>
      <c r="I358" s="44"/>
      <c r="J358" s="44">
        <f t="shared" si="216"/>
        <v>0</v>
      </c>
      <c r="K358" s="42"/>
      <c r="L358" s="42">
        <f t="shared" si="209"/>
        <v>0</v>
      </c>
      <c r="M358" s="42"/>
      <c r="N358" s="42"/>
      <c r="O358" s="101"/>
      <c r="P358" s="45"/>
      <c r="Q358" s="42"/>
      <c r="R358" s="42"/>
      <c r="S358" s="42"/>
      <c r="T358" s="12">
        <f t="shared" si="217"/>
        <v>0</v>
      </c>
      <c r="U358" s="45"/>
      <c r="V358" s="12">
        <f>+T358*0</f>
        <v>0</v>
      </c>
      <c r="W358" s="12">
        <f t="shared" si="218"/>
        <v>0</v>
      </c>
      <c r="X358" s="12"/>
      <c r="Y358" s="12">
        <f t="shared" si="215"/>
        <v>0</v>
      </c>
      <c r="Z358" s="12"/>
      <c r="AA358" s="12">
        <f t="shared" si="219"/>
        <v>0</v>
      </c>
      <c r="AB358" s="12"/>
      <c r="AC358" s="12">
        <f t="shared" si="220"/>
        <v>0</v>
      </c>
      <c r="AD358" s="42"/>
      <c r="AE358" s="12"/>
    </row>
    <row r="359" spans="1:31" s="46" customFormat="1" ht="21">
      <c r="A359" s="42" t="s">
        <v>0</v>
      </c>
      <c r="B359" s="42" t="s">
        <v>1</v>
      </c>
      <c r="C359" s="45" t="s">
        <v>295</v>
      </c>
      <c r="D359" s="45" t="s">
        <v>325</v>
      </c>
      <c r="E359" s="29" t="s">
        <v>907</v>
      </c>
      <c r="F359" s="47" t="s">
        <v>137</v>
      </c>
      <c r="G359" s="42"/>
      <c r="H359" s="42"/>
      <c r="I359" s="44">
        <v>62.1</v>
      </c>
      <c r="J359" s="44">
        <f t="shared" si="216"/>
        <v>62.1</v>
      </c>
      <c r="K359" s="42">
        <v>12000</v>
      </c>
      <c r="L359" s="42">
        <f aca="true" t="shared" si="221" ref="L359:L365">+K359*J359</f>
        <v>745200</v>
      </c>
      <c r="M359" s="42"/>
      <c r="N359" s="42"/>
      <c r="O359" s="101"/>
      <c r="P359" s="45"/>
      <c r="Q359" s="42"/>
      <c r="R359" s="100"/>
      <c r="S359" s="42"/>
      <c r="T359" s="12">
        <f t="shared" si="217"/>
        <v>0</v>
      </c>
      <c r="U359" s="45"/>
      <c r="V359" s="12">
        <f>+T359*0</f>
        <v>0</v>
      </c>
      <c r="W359" s="12">
        <f t="shared" si="218"/>
        <v>0</v>
      </c>
      <c r="X359" s="116"/>
      <c r="Y359" s="117">
        <f t="shared" si="215"/>
        <v>745200</v>
      </c>
      <c r="Z359" s="12"/>
      <c r="AA359" s="12">
        <f t="shared" si="219"/>
        <v>745200</v>
      </c>
      <c r="AB359" s="12">
        <v>0.02</v>
      </c>
      <c r="AC359" s="12">
        <f t="shared" si="220"/>
        <v>149.04</v>
      </c>
      <c r="AD359" s="42"/>
      <c r="AE359" s="12"/>
    </row>
    <row r="360" spans="1:31" s="46" customFormat="1" ht="21">
      <c r="A360" s="42" t="s">
        <v>0</v>
      </c>
      <c r="B360" s="42" t="s">
        <v>1</v>
      </c>
      <c r="C360" s="45" t="s">
        <v>1464</v>
      </c>
      <c r="D360" s="45" t="s">
        <v>326</v>
      </c>
      <c r="E360" s="29" t="s">
        <v>907</v>
      </c>
      <c r="F360" s="47" t="s">
        <v>167</v>
      </c>
      <c r="G360" s="42"/>
      <c r="H360" s="42">
        <v>1</v>
      </c>
      <c r="I360" s="44">
        <v>3.8</v>
      </c>
      <c r="J360" s="44">
        <f t="shared" si="216"/>
        <v>103.8</v>
      </c>
      <c r="K360" s="42">
        <v>55000</v>
      </c>
      <c r="L360" s="42">
        <f t="shared" si="221"/>
        <v>5709000</v>
      </c>
      <c r="M360" s="42">
        <v>1</v>
      </c>
      <c r="N360" s="42" t="s">
        <v>184</v>
      </c>
      <c r="O360" s="101" t="s">
        <v>446</v>
      </c>
      <c r="P360" s="45">
        <v>2</v>
      </c>
      <c r="Q360" s="100">
        <f>32*2</f>
        <v>64</v>
      </c>
      <c r="R360" s="100">
        <v>45.71</v>
      </c>
      <c r="S360" s="42">
        <v>7550</v>
      </c>
      <c r="T360" s="12">
        <f t="shared" si="217"/>
        <v>483200</v>
      </c>
      <c r="U360" s="102" t="s">
        <v>328</v>
      </c>
      <c r="V360" s="12">
        <f>+T360*0.76</f>
        <v>367232</v>
      </c>
      <c r="W360" s="12">
        <f t="shared" si="218"/>
        <v>115968</v>
      </c>
      <c r="X360" s="116"/>
      <c r="Y360" s="117">
        <f>+L360*(R360/100)+W360</f>
        <v>2725551.9</v>
      </c>
      <c r="Z360" s="12"/>
      <c r="AA360" s="12">
        <f t="shared" si="219"/>
        <v>2725551.9</v>
      </c>
      <c r="AB360" s="12">
        <v>0.02</v>
      </c>
      <c r="AC360" s="12">
        <f t="shared" si="220"/>
        <v>545.11038</v>
      </c>
      <c r="AD360" s="42"/>
      <c r="AE360" s="12"/>
    </row>
    <row r="361" spans="1:31" s="46" customFormat="1" ht="21">
      <c r="A361" s="42" t="s">
        <v>0</v>
      </c>
      <c r="B361" s="42"/>
      <c r="C361" s="45"/>
      <c r="D361" s="45"/>
      <c r="E361" s="31"/>
      <c r="F361" s="47"/>
      <c r="G361" s="42"/>
      <c r="H361" s="42"/>
      <c r="I361" s="44"/>
      <c r="J361" s="44">
        <f t="shared" si="216"/>
        <v>0</v>
      </c>
      <c r="K361" s="42"/>
      <c r="L361" s="42">
        <f>+K361*J361</f>
        <v>0</v>
      </c>
      <c r="M361" s="42">
        <v>2</v>
      </c>
      <c r="N361" s="42" t="s">
        <v>302</v>
      </c>
      <c r="O361" s="101" t="s">
        <v>446</v>
      </c>
      <c r="P361" s="45">
        <v>2</v>
      </c>
      <c r="Q361" s="100">
        <v>32</v>
      </c>
      <c r="R361" s="100">
        <v>22.87</v>
      </c>
      <c r="S361" s="42">
        <v>7550</v>
      </c>
      <c r="T361" s="12">
        <f t="shared" si="217"/>
        <v>241600</v>
      </c>
      <c r="U361" s="102" t="s">
        <v>328</v>
      </c>
      <c r="V361" s="12">
        <f>+T361*0.76</f>
        <v>183616</v>
      </c>
      <c r="W361" s="12">
        <f t="shared" si="218"/>
        <v>57984</v>
      </c>
      <c r="X361" s="116"/>
      <c r="Y361" s="117">
        <f>+L360*(R361/100)+W361</f>
        <v>1363632.3</v>
      </c>
      <c r="Z361" s="12">
        <f>+Y361</f>
        <v>1363632.3</v>
      </c>
      <c r="AA361" s="12">
        <f t="shared" si="219"/>
        <v>0</v>
      </c>
      <c r="AB361" s="12"/>
      <c r="AC361" s="12">
        <f t="shared" si="220"/>
        <v>0</v>
      </c>
      <c r="AD361" s="42" t="s">
        <v>906</v>
      </c>
      <c r="AE361" s="12"/>
    </row>
    <row r="362" spans="1:31" s="46" customFormat="1" ht="21">
      <c r="A362" s="42" t="s">
        <v>0</v>
      </c>
      <c r="B362" s="42"/>
      <c r="C362" s="45"/>
      <c r="D362" s="45"/>
      <c r="E362" s="31"/>
      <c r="F362" s="47"/>
      <c r="G362" s="42"/>
      <c r="H362" s="42"/>
      <c r="I362" s="44"/>
      <c r="J362" s="44">
        <f t="shared" si="216"/>
        <v>0</v>
      </c>
      <c r="K362" s="42"/>
      <c r="L362" s="42">
        <f t="shared" si="221"/>
        <v>0</v>
      </c>
      <c r="M362" s="42">
        <v>3</v>
      </c>
      <c r="N362" s="42" t="s">
        <v>302</v>
      </c>
      <c r="O362" s="101" t="s">
        <v>446</v>
      </c>
      <c r="P362" s="45">
        <v>3</v>
      </c>
      <c r="Q362" s="100">
        <v>44</v>
      </c>
      <c r="R362" s="100">
        <v>31.42</v>
      </c>
      <c r="S362" s="42">
        <v>7550</v>
      </c>
      <c r="T362" s="12">
        <f t="shared" si="217"/>
        <v>332200</v>
      </c>
      <c r="U362" s="102" t="s">
        <v>328</v>
      </c>
      <c r="V362" s="12">
        <f>+T362*0.76</f>
        <v>252472</v>
      </c>
      <c r="W362" s="12">
        <f t="shared" si="218"/>
        <v>79728</v>
      </c>
      <c r="X362" s="116"/>
      <c r="Y362" s="117">
        <f>+L360*(R362/100)+W362</f>
        <v>1873495.8000000003</v>
      </c>
      <c r="Z362" s="12"/>
      <c r="AA362" s="12">
        <f t="shared" si="219"/>
        <v>1873495.8000000003</v>
      </c>
      <c r="AB362" s="12">
        <v>0.3</v>
      </c>
      <c r="AC362" s="12">
        <f t="shared" si="220"/>
        <v>5620.487400000001</v>
      </c>
      <c r="AD362" s="42"/>
      <c r="AE362" s="12"/>
    </row>
    <row r="363" spans="1:31" s="46" customFormat="1" ht="21">
      <c r="A363" s="42"/>
      <c r="B363" s="42"/>
      <c r="C363" s="45"/>
      <c r="D363" s="31"/>
      <c r="E363" s="31"/>
      <c r="F363" s="47"/>
      <c r="G363" s="42"/>
      <c r="H363" s="42"/>
      <c r="I363" s="44"/>
      <c r="J363" s="44">
        <f t="shared" si="216"/>
        <v>0</v>
      </c>
      <c r="K363" s="42"/>
      <c r="L363" s="42">
        <f t="shared" si="221"/>
        <v>0</v>
      </c>
      <c r="M363" s="42"/>
      <c r="N363" s="42"/>
      <c r="O363" s="101"/>
      <c r="P363" s="45"/>
      <c r="Q363" s="42"/>
      <c r="R363" s="42"/>
      <c r="S363" s="42"/>
      <c r="T363" s="12">
        <f t="shared" si="217"/>
        <v>0</v>
      </c>
      <c r="U363" s="45"/>
      <c r="V363" s="12">
        <f>+T363*0</f>
        <v>0</v>
      </c>
      <c r="W363" s="12">
        <f t="shared" si="218"/>
        <v>0</v>
      </c>
      <c r="X363" s="12"/>
      <c r="Y363" s="12">
        <f aca="true" t="shared" si="222" ref="Y363:Y369">+L363+W363</f>
        <v>0</v>
      </c>
      <c r="Z363" s="12"/>
      <c r="AA363" s="12">
        <f t="shared" si="219"/>
        <v>0</v>
      </c>
      <c r="AB363" s="12"/>
      <c r="AC363" s="12">
        <f t="shared" si="220"/>
        <v>0</v>
      </c>
      <c r="AD363" s="42"/>
      <c r="AE363" s="12"/>
    </row>
    <row r="364" spans="1:31" s="46" customFormat="1" ht="21">
      <c r="A364" s="42" t="s">
        <v>0</v>
      </c>
      <c r="B364" s="42" t="s">
        <v>1</v>
      </c>
      <c r="C364" s="45" t="s">
        <v>1465</v>
      </c>
      <c r="D364" s="51" t="s">
        <v>329</v>
      </c>
      <c r="E364" s="29" t="s">
        <v>907</v>
      </c>
      <c r="F364" s="47" t="s">
        <v>137</v>
      </c>
      <c r="G364" s="42"/>
      <c r="H364" s="42"/>
      <c r="I364" s="44">
        <v>18.3</v>
      </c>
      <c r="J364" s="44">
        <f aca="true" t="shared" si="223" ref="J364:J369">+I364+(H364*100)+(G364*400)</f>
        <v>18.3</v>
      </c>
      <c r="K364" s="42">
        <v>15000</v>
      </c>
      <c r="L364" s="42">
        <f t="shared" si="221"/>
        <v>274500</v>
      </c>
      <c r="M364" s="42"/>
      <c r="N364" s="42" t="s">
        <v>62</v>
      </c>
      <c r="O364" s="101" t="s">
        <v>446</v>
      </c>
      <c r="P364" s="45">
        <v>2</v>
      </c>
      <c r="Q364" s="100">
        <v>128</v>
      </c>
      <c r="R364" s="100"/>
      <c r="S364" s="42">
        <v>6750</v>
      </c>
      <c r="T364" s="12">
        <f aca="true" t="shared" si="224" ref="T364:T369">+Q364*S364</f>
        <v>864000</v>
      </c>
      <c r="U364" s="102" t="s">
        <v>93</v>
      </c>
      <c r="V364" s="12">
        <f>+T364*0.44</f>
        <v>380160</v>
      </c>
      <c r="W364" s="12">
        <f aca="true" t="shared" si="225" ref="W364:W369">+T364-V364</f>
        <v>483840</v>
      </c>
      <c r="X364" s="116"/>
      <c r="Y364" s="117">
        <f t="shared" si="222"/>
        <v>758340</v>
      </c>
      <c r="Z364" s="12"/>
      <c r="AA364" s="12">
        <f aca="true" t="shared" si="226" ref="AA364:AA369">+Y364-Z364</f>
        <v>758340</v>
      </c>
      <c r="AB364" s="12">
        <v>0.02</v>
      </c>
      <c r="AC364" s="12">
        <f aca="true" t="shared" si="227" ref="AC364:AC369">+AA364*AB364/100</f>
        <v>151.668</v>
      </c>
      <c r="AD364" s="42"/>
      <c r="AE364" s="12"/>
    </row>
    <row r="365" spans="1:31" s="46" customFormat="1" ht="21">
      <c r="A365" s="42"/>
      <c r="B365" s="42"/>
      <c r="C365" s="45"/>
      <c r="D365" s="31"/>
      <c r="E365" s="31"/>
      <c r="F365" s="47"/>
      <c r="G365" s="42"/>
      <c r="H365" s="42"/>
      <c r="I365" s="44"/>
      <c r="J365" s="44">
        <f t="shared" si="223"/>
        <v>0</v>
      </c>
      <c r="K365" s="42"/>
      <c r="L365" s="42">
        <f t="shared" si="221"/>
        <v>0</v>
      </c>
      <c r="M365" s="42"/>
      <c r="N365" s="42"/>
      <c r="O365" s="101"/>
      <c r="P365" s="45"/>
      <c r="Q365" s="42"/>
      <c r="R365" s="42"/>
      <c r="S365" s="42"/>
      <c r="T365" s="12">
        <f t="shared" si="224"/>
        <v>0</v>
      </c>
      <c r="U365" s="45"/>
      <c r="V365" s="12">
        <f>+T365*0</f>
        <v>0</v>
      </c>
      <c r="W365" s="12">
        <f t="shared" si="225"/>
        <v>0</v>
      </c>
      <c r="X365" s="12"/>
      <c r="Y365" s="12">
        <f t="shared" si="222"/>
        <v>0</v>
      </c>
      <c r="Z365" s="12"/>
      <c r="AA365" s="12">
        <f t="shared" si="226"/>
        <v>0</v>
      </c>
      <c r="AB365" s="12"/>
      <c r="AC365" s="12">
        <f t="shared" si="227"/>
        <v>0</v>
      </c>
      <c r="AD365" s="42"/>
      <c r="AE365" s="12"/>
    </row>
    <row r="366" spans="1:31" s="46" customFormat="1" ht="21">
      <c r="A366" s="42"/>
      <c r="B366" s="42"/>
      <c r="C366" s="45"/>
      <c r="D366" s="31"/>
      <c r="E366" s="31"/>
      <c r="F366" s="47"/>
      <c r="G366" s="42"/>
      <c r="H366" s="42"/>
      <c r="I366" s="44"/>
      <c r="J366" s="44">
        <f t="shared" si="223"/>
        <v>0</v>
      </c>
      <c r="K366" s="42"/>
      <c r="L366" s="42">
        <f aca="true" t="shared" si="228" ref="L366:L427">+K366*J366</f>
        <v>0</v>
      </c>
      <c r="M366" s="42"/>
      <c r="N366" s="42"/>
      <c r="O366" s="101"/>
      <c r="P366" s="45"/>
      <c r="Q366" s="42"/>
      <c r="R366" s="42"/>
      <c r="S366" s="42"/>
      <c r="T366" s="12">
        <f t="shared" si="224"/>
        <v>0</v>
      </c>
      <c r="U366" s="45"/>
      <c r="V366" s="12">
        <f>+T366*0</f>
        <v>0</v>
      </c>
      <c r="W366" s="12">
        <f t="shared" si="225"/>
        <v>0</v>
      </c>
      <c r="X366" s="12"/>
      <c r="Y366" s="12">
        <f t="shared" si="222"/>
        <v>0</v>
      </c>
      <c r="Z366" s="12"/>
      <c r="AA366" s="12">
        <f t="shared" si="226"/>
        <v>0</v>
      </c>
      <c r="AB366" s="12"/>
      <c r="AC366" s="12">
        <f t="shared" si="227"/>
        <v>0</v>
      </c>
      <c r="AD366" s="42"/>
      <c r="AE366" s="12"/>
    </row>
    <row r="367" spans="1:31" s="46" customFormat="1" ht="21">
      <c r="A367" s="42" t="s">
        <v>0</v>
      </c>
      <c r="B367" s="42" t="s">
        <v>1</v>
      </c>
      <c r="C367" s="45" t="s">
        <v>1466</v>
      </c>
      <c r="D367" s="51" t="s">
        <v>330</v>
      </c>
      <c r="E367" s="29" t="s">
        <v>907</v>
      </c>
      <c r="F367" s="47" t="s">
        <v>140</v>
      </c>
      <c r="G367" s="42"/>
      <c r="H367" s="42"/>
      <c r="I367" s="44">
        <v>75</v>
      </c>
      <c r="J367" s="44">
        <f>+I367+(H367*100)+(G367*400)</f>
        <v>75</v>
      </c>
      <c r="K367" s="42">
        <v>12000</v>
      </c>
      <c r="L367" s="42">
        <f>+K367*J367</f>
        <v>900000</v>
      </c>
      <c r="M367" s="42"/>
      <c r="N367" s="110"/>
      <c r="O367" s="101"/>
      <c r="P367" s="45"/>
      <c r="Q367" s="42"/>
      <c r="R367" s="100"/>
      <c r="S367" s="42"/>
      <c r="T367" s="12">
        <f>+Q367*S367</f>
        <v>0</v>
      </c>
      <c r="U367" s="45"/>
      <c r="V367" s="12">
        <f>+T367*0</f>
        <v>0</v>
      </c>
      <c r="W367" s="12">
        <f>+T367-V367</f>
        <v>0</v>
      </c>
      <c r="X367" s="116"/>
      <c r="Y367" s="117">
        <f t="shared" si="222"/>
        <v>900000</v>
      </c>
      <c r="Z367" s="12"/>
      <c r="AA367" s="12">
        <f>+Y367-Z367</f>
        <v>900000</v>
      </c>
      <c r="AB367" s="12">
        <v>0.3</v>
      </c>
      <c r="AC367" s="12">
        <f>+AA367*AB367/100</f>
        <v>2700</v>
      </c>
      <c r="AD367" s="42"/>
      <c r="AE367" s="12"/>
    </row>
    <row r="368" spans="1:31" s="46" customFormat="1" ht="21">
      <c r="A368" s="42"/>
      <c r="B368" s="42"/>
      <c r="C368" s="45"/>
      <c r="D368" s="31"/>
      <c r="E368" s="31"/>
      <c r="F368" s="47"/>
      <c r="G368" s="42"/>
      <c r="H368" s="42"/>
      <c r="I368" s="44"/>
      <c r="J368" s="44">
        <f t="shared" si="223"/>
        <v>0</v>
      </c>
      <c r="K368" s="42"/>
      <c r="L368" s="42">
        <f t="shared" si="228"/>
        <v>0</v>
      </c>
      <c r="M368" s="42"/>
      <c r="N368" s="42"/>
      <c r="O368" s="101"/>
      <c r="P368" s="45"/>
      <c r="Q368" s="42"/>
      <c r="R368" s="42"/>
      <c r="S368" s="42"/>
      <c r="T368" s="12">
        <f t="shared" si="224"/>
        <v>0</v>
      </c>
      <c r="U368" s="45"/>
      <c r="V368" s="12">
        <f>+T368*0</f>
        <v>0</v>
      </c>
      <c r="W368" s="12">
        <f t="shared" si="225"/>
        <v>0</v>
      </c>
      <c r="X368" s="12"/>
      <c r="Y368" s="12">
        <f t="shared" si="222"/>
        <v>0</v>
      </c>
      <c r="Z368" s="12"/>
      <c r="AA368" s="12">
        <f t="shared" si="226"/>
        <v>0</v>
      </c>
      <c r="AB368" s="12"/>
      <c r="AC368" s="12">
        <f t="shared" si="227"/>
        <v>0</v>
      </c>
      <c r="AD368" s="42"/>
      <c r="AE368" s="12"/>
    </row>
    <row r="369" spans="1:31" s="46" customFormat="1" ht="21">
      <c r="A369" s="42"/>
      <c r="B369" s="42"/>
      <c r="C369" s="45"/>
      <c r="D369" s="31"/>
      <c r="E369" s="31"/>
      <c r="F369" s="47"/>
      <c r="G369" s="42"/>
      <c r="H369" s="42"/>
      <c r="I369" s="44"/>
      <c r="J369" s="44">
        <f t="shared" si="223"/>
        <v>0</v>
      </c>
      <c r="K369" s="42"/>
      <c r="L369" s="42">
        <f t="shared" si="228"/>
        <v>0</v>
      </c>
      <c r="M369" s="42"/>
      <c r="N369" s="42"/>
      <c r="O369" s="101"/>
      <c r="P369" s="45"/>
      <c r="Q369" s="42"/>
      <c r="R369" s="42"/>
      <c r="S369" s="42"/>
      <c r="T369" s="12">
        <f t="shared" si="224"/>
        <v>0</v>
      </c>
      <c r="U369" s="45"/>
      <c r="V369" s="12">
        <f>+T369*0</f>
        <v>0</v>
      </c>
      <c r="W369" s="12">
        <f t="shared" si="225"/>
        <v>0</v>
      </c>
      <c r="X369" s="12"/>
      <c r="Y369" s="12">
        <f t="shared" si="222"/>
        <v>0</v>
      </c>
      <c r="Z369" s="12"/>
      <c r="AA369" s="12">
        <f t="shared" si="226"/>
        <v>0</v>
      </c>
      <c r="AB369" s="12"/>
      <c r="AC369" s="12">
        <f t="shared" si="227"/>
        <v>0</v>
      </c>
      <c r="AD369" s="42"/>
      <c r="AE369" s="12"/>
    </row>
    <row r="370" spans="1:31" s="46" customFormat="1" ht="21">
      <c r="A370" s="42" t="s">
        <v>0</v>
      </c>
      <c r="B370" s="42" t="s">
        <v>1</v>
      </c>
      <c r="C370" s="45" t="s">
        <v>1467</v>
      </c>
      <c r="D370" s="45" t="s">
        <v>331</v>
      </c>
      <c r="E370" s="29" t="s">
        <v>907</v>
      </c>
      <c r="F370" s="47" t="s">
        <v>137</v>
      </c>
      <c r="G370" s="42"/>
      <c r="H370" s="42"/>
      <c r="I370" s="44">
        <v>50.9</v>
      </c>
      <c r="J370" s="44">
        <f aca="true" t="shared" si="229" ref="J370:J375">+I370+(H370*100)+(G370*400)</f>
        <v>50.9</v>
      </c>
      <c r="K370" s="42">
        <v>10000</v>
      </c>
      <c r="L370" s="42">
        <f t="shared" si="228"/>
        <v>509000</v>
      </c>
      <c r="M370" s="42"/>
      <c r="N370" s="42" t="s">
        <v>336</v>
      </c>
      <c r="O370" s="101" t="s">
        <v>446</v>
      </c>
      <c r="P370" s="45">
        <v>2</v>
      </c>
      <c r="Q370" s="100">
        <f>11.2*5</f>
        <v>56</v>
      </c>
      <c r="R370" s="100"/>
      <c r="S370" s="42">
        <v>6650</v>
      </c>
      <c r="T370" s="12">
        <f aca="true" t="shared" si="230" ref="T370:T375">+Q370*S370</f>
        <v>372400</v>
      </c>
      <c r="U370" s="102" t="s">
        <v>83</v>
      </c>
      <c r="V370" s="12">
        <f>+T370*0.18</f>
        <v>67032</v>
      </c>
      <c r="W370" s="12">
        <f aca="true" t="shared" si="231" ref="W370:W375">+T370-V370</f>
        <v>305368</v>
      </c>
      <c r="X370" s="116"/>
      <c r="Y370" s="117">
        <f aca="true" t="shared" si="232" ref="Y370:Y375">+L370+W370</f>
        <v>814368</v>
      </c>
      <c r="Z370" s="12"/>
      <c r="AA370" s="12">
        <f aca="true" t="shared" si="233" ref="AA370:AA375">+Y370-Z370</f>
        <v>814368</v>
      </c>
      <c r="AB370" s="12">
        <v>0.02</v>
      </c>
      <c r="AC370" s="12">
        <f aca="true" t="shared" si="234" ref="AC370:AC375">+AA370*AB370/100</f>
        <v>162.8736</v>
      </c>
      <c r="AD370" s="42"/>
      <c r="AE370" s="12"/>
    </row>
    <row r="371" spans="1:31" s="46" customFormat="1" ht="21">
      <c r="A371" s="42" t="s">
        <v>0</v>
      </c>
      <c r="B371" s="42" t="s">
        <v>1</v>
      </c>
      <c r="C371" s="45" t="s">
        <v>1468</v>
      </c>
      <c r="D371" s="45" t="s">
        <v>332</v>
      </c>
      <c r="E371" s="29" t="s">
        <v>907</v>
      </c>
      <c r="F371" s="47" t="s">
        <v>143</v>
      </c>
      <c r="G371" s="42"/>
      <c r="H371" s="42"/>
      <c r="I371" s="44">
        <v>20</v>
      </c>
      <c r="J371" s="44">
        <f t="shared" si="229"/>
        <v>20</v>
      </c>
      <c r="K371" s="42">
        <v>30000</v>
      </c>
      <c r="L371" s="42">
        <f t="shared" si="228"/>
        <v>600000</v>
      </c>
      <c r="M371" s="42"/>
      <c r="N371" s="42" t="s">
        <v>60</v>
      </c>
      <c r="O371" s="101" t="s">
        <v>446</v>
      </c>
      <c r="P371" s="45">
        <v>3</v>
      </c>
      <c r="Q371" s="100">
        <v>96</v>
      </c>
      <c r="R371" s="100"/>
      <c r="S371" s="42">
        <v>7550</v>
      </c>
      <c r="T371" s="12">
        <f t="shared" si="230"/>
        <v>724800</v>
      </c>
      <c r="U371" s="102" t="s">
        <v>85</v>
      </c>
      <c r="V371" s="12">
        <f>+T371*0.22</f>
        <v>159456</v>
      </c>
      <c r="W371" s="12">
        <f t="shared" si="231"/>
        <v>565344</v>
      </c>
      <c r="X371" s="116"/>
      <c r="Y371" s="117">
        <f t="shared" si="232"/>
        <v>1165344</v>
      </c>
      <c r="Z371" s="12"/>
      <c r="AA371" s="12">
        <f t="shared" si="233"/>
        <v>1165344</v>
      </c>
      <c r="AB371" s="12">
        <v>0.3</v>
      </c>
      <c r="AC371" s="12">
        <f t="shared" si="234"/>
        <v>3496.032</v>
      </c>
      <c r="AD371" s="42"/>
      <c r="AE371" s="12"/>
    </row>
    <row r="372" spans="1:31" s="46" customFormat="1" ht="21">
      <c r="A372" s="42" t="s">
        <v>0</v>
      </c>
      <c r="B372" s="42" t="s">
        <v>1</v>
      </c>
      <c r="C372" s="45" t="s">
        <v>1469</v>
      </c>
      <c r="D372" s="51" t="s">
        <v>333</v>
      </c>
      <c r="E372" s="29" t="s">
        <v>907</v>
      </c>
      <c r="F372" s="47" t="s">
        <v>140</v>
      </c>
      <c r="G372" s="42"/>
      <c r="H372" s="42">
        <v>3</v>
      </c>
      <c r="I372" s="44">
        <v>49.8</v>
      </c>
      <c r="J372" s="44">
        <f t="shared" si="229"/>
        <v>349.8</v>
      </c>
      <c r="K372" s="42">
        <v>6500</v>
      </c>
      <c r="L372" s="42">
        <f t="shared" si="228"/>
        <v>2273700</v>
      </c>
      <c r="M372" s="42"/>
      <c r="N372" s="42"/>
      <c r="O372" s="101"/>
      <c r="P372" s="45"/>
      <c r="Q372" s="42"/>
      <c r="R372" s="100"/>
      <c r="S372" s="42"/>
      <c r="T372" s="12">
        <f t="shared" si="230"/>
        <v>0</v>
      </c>
      <c r="U372" s="45"/>
      <c r="V372" s="12">
        <f>+T372*0</f>
        <v>0</v>
      </c>
      <c r="W372" s="12">
        <f t="shared" si="231"/>
        <v>0</v>
      </c>
      <c r="X372" s="116"/>
      <c r="Y372" s="117">
        <f t="shared" si="232"/>
        <v>2273700</v>
      </c>
      <c r="Z372" s="12"/>
      <c r="AA372" s="12">
        <f t="shared" si="233"/>
        <v>2273700</v>
      </c>
      <c r="AB372" s="12">
        <v>0.3</v>
      </c>
      <c r="AC372" s="12">
        <f t="shared" si="234"/>
        <v>6821.1</v>
      </c>
      <c r="AD372" s="42"/>
      <c r="AE372" s="12"/>
    </row>
    <row r="373" spans="1:31" s="46" customFormat="1" ht="21">
      <c r="A373" s="42" t="s">
        <v>0</v>
      </c>
      <c r="B373" s="42" t="s">
        <v>1</v>
      </c>
      <c r="C373" s="45" t="s">
        <v>1470</v>
      </c>
      <c r="D373" s="51" t="s">
        <v>334</v>
      </c>
      <c r="E373" s="29" t="s">
        <v>907</v>
      </c>
      <c r="F373" s="47" t="s">
        <v>140</v>
      </c>
      <c r="G373" s="42"/>
      <c r="H373" s="42"/>
      <c r="I373" s="44">
        <v>16.2</v>
      </c>
      <c r="J373" s="44">
        <f t="shared" si="229"/>
        <v>16.2</v>
      </c>
      <c r="K373" s="42">
        <v>10000</v>
      </c>
      <c r="L373" s="42">
        <f t="shared" si="228"/>
        <v>162000</v>
      </c>
      <c r="M373" s="42"/>
      <c r="N373" s="42"/>
      <c r="O373" s="101"/>
      <c r="P373" s="45"/>
      <c r="Q373" s="42"/>
      <c r="R373" s="100"/>
      <c r="S373" s="42"/>
      <c r="T373" s="12">
        <f t="shared" si="230"/>
        <v>0</v>
      </c>
      <c r="U373" s="45"/>
      <c r="V373" s="12">
        <f>+T373*0</f>
        <v>0</v>
      </c>
      <c r="W373" s="12">
        <f t="shared" si="231"/>
        <v>0</v>
      </c>
      <c r="X373" s="116"/>
      <c r="Y373" s="117">
        <f t="shared" si="232"/>
        <v>162000</v>
      </c>
      <c r="Z373" s="12"/>
      <c r="AA373" s="12">
        <f t="shared" si="233"/>
        <v>162000</v>
      </c>
      <c r="AB373" s="12">
        <v>0.3</v>
      </c>
      <c r="AC373" s="12">
        <f t="shared" si="234"/>
        <v>486</v>
      </c>
      <c r="AD373" s="42"/>
      <c r="AE373" s="12"/>
    </row>
    <row r="374" spans="1:31" s="46" customFormat="1" ht="21">
      <c r="A374" s="42" t="s">
        <v>0</v>
      </c>
      <c r="B374" s="42" t="s">
        <v>1</v>
      </c>
      <c r="C374" s="45" t="s">
        <v>1471</v>
      </c>
      <c r="D374" s="51" t="s">
        <v>335</v>
      </c>
      <c r="E374" s="29" t="s">
        <v>907</v>
      </c>
      <c r="F374" s="47" t="s">
        <v>137</v>
      </c>
      <c r="G374" s="42"/>
      <c r="H374" s="42"/>
      <c r="I374" s="44">
        <v>90.2</v>
      </c>
      <c r="J374" s="44">
        <f t="shared" si="229"/>
        <v>90.2</v>
      </c>
      <c r="K374" s="42">
        <v>12000</v>
      </c>
      <c r="L374" s="42">
        <f>+K374*J374</f>
        <v>1082400</v>
      </c>
      <c r="M374" s="42"/>
      <c r="N374" s="42" t="s">
        <v>64</v>
      </c>
      <c r="O374" s="101" t="s">
        <v>446</v>
      </c>
      <c r="P374" s="45">
        <v>2</v>
      </c>
      <c r="Q374" s="100">
        <v>152</v>
      </c>
      <c r="R374" s="100"/>
      <c r="S374" s="42">
        <v>6550</v>
      </c>
      <c r="T374" s="12">
        <f t="shared" si="230"/>
        <v>995600</v>
      </c>
      <c r="U374" s="45" t="s">
        <v>337</v>
      </c>
      <c r="V374" s="12">
        <f>+T374*0.06</f>
        <v>59736</v>
      </c>
      <c r="W374" s="12">
        <f t="shared" si="231"/>
        <v>935864</v>
      </c>
      <c r="X374" s="116"/>
      <c r="Y374" s="117">
        <f t="shared" si="232"/>
        <v>2018264</v>
      </c>
      <c r="Z374" s="12">
        <f>+Y374</f>
        <v>2018264</v>
      </c>
      <c r="AA374" s="12">
        <f t="shared" si="233"/>
        <v>0</v>
      </c>
      <c r="AB374" s="12"/>
      <c r="AC374" s="12">
        <f t="shared" si="234"/>
        <v>0</v>
      </c>
      <c r="AD374" s="42" t="s">
        <v>906</v>
      </c>
      <c r="AE374" s="12"/>
    </row>
    <row r="375" spans="1:31" s="46" customFormat="1" ht="21">
      <c r="A375" s="42"/>
      <c r="B375" s="42"/>
      <c r="C375" s="45"/>
      <c r="D375" s="31"/>
      <c r="E375" s="31"/>
      <c r="F375" s="47"/>
      <c r="G375" s="42"/>
      <c r="H375" s="42"/>
      <c r="I375" s="44"/>
      <c r="J375" s="44">
        <f t="shared" si="229"/>
        <v>0</v>
      </c>
      <c r="K375" s="42"/>
      <c r="L375" s="42">
        <f>+K375*J375</f>
        <v>0</v>
      </c>
      <c r="M375" s="42"/>
      <c r="N375" s="42"/>
      <c r="O375" s="101"/>
      <c r="P375" s="45"/>
      <c r="Q375" s="42"/>
      <c r="R375" s="42"/>
      <c r="S375" s="42"/>
      <c r="T375" s="12">
        <f t="shared" si="230"/>
        <v>0</v>
      </c>
      <c r="U375" s="45"/>
      <c r="V375" s="12">
        <f>+T375*0</f>
        <v>0</v>
      </c>
      <c r="W375" s="12">
        <f t="shared" si="231"/>
        <v>0</v>
      </c>
      <c r="X375" s="12"/>
      <c r="Y375" s="12">
        <f t="shared" si="232"/>
        <v>0</v>
      </c>
      <c r="Z375" s="12"/>
      <c r="AA375" s="12">
        <f t="shared" si="233"/>
        <v>0</v>
      </c>
      <c r="AB375" s="12"/>
      <c r="AC375" s="12">
        <f t="shared" si="234"/>
        <v>0</v>
      </c>
      <c r="AD375" s="42"/>
      <c r="AE375" s="12"/>
    </row>
    <row r="376" spans="1:31" s="46" customFormat="1" ht="21">
      <c r="A376" s="42" t="s">
        <v>0</v>
      </c>
      <c r="B376" s="42" t="s">
        <v>1</v>
      </c>
      <c r="C376" s="45" t="s">
        <v>1472</v>
      </c>
      <c r="D376" s="45" t="s">
        <v>338</v>
      </c>
      <c r="E376" s="10" t="s">
        <v>909</v>
      </c>
      <c r="F376" s="47" t="s">
        <v>140</v>
      </c>
      <c r="G376" s="42"/>
      <c r="H376" s="42"/>
      <c r="I376" s="44">
        <v>49.9</v>
      </c>
      <c r="J376" s="44">
        <f aca="true" t="shared" si="235" ref="J376:J383">+I376+(H376*100)+(G376*400)</f>
        <v>49.9</v>
      </c>
      <c r="K376" s="42">
        <v>6000</v>
      </c>
      <c r="L376" s="42">
        <f t="shared" si="228"/>
        <v>299400</v>
      </c>
      <c r="M376" s="42"/>
      <c r="N376" s="42"/>
      <c r="O376" s="101"/>
      <c r="P376" s="45"/>
      <c r="Q376" s="42"/>
      <c r="R376" s="100"/>
      <c r="S376" s="42"/>
      <c r="T376" s="12">
        <f aca="true" t="shared" si="236" ref="T376:T383">+Q376*S376</f>
        <v>0</v>
      </c>
      <c r="U376" s="45"/>
      <c r="V376" s="12">
        <f>+T376*0</f>
        <v>0</v>
      </c>
      <c r="W376" s="12">
        <f aca="true" t="shared" si="237" ref="W376:W383">+T376-V376</f>
        <v>0</v>
      </c>
      <c r="X376" s="116"/>
      <c r="Y376" s="117">
        <f>+L376+W376</f>
        <v>299400</v>
      </c>
      <c r="Z376" s="12"/>
      <c r="AA376" s="12">
        <f aca="true" t="shared" si="238" ref="AA376:AA383">+Y376-Z376</f>
        <v>299400</v>
      </c>
      <c r="AB376" s="12">
        <v>0.3</v>
      </c>
      <c r="AC376" s="12">
        <f aca="true" t="shared" si="239" ref="AC376:AC383">+AA376*AB376/100</f>
        <v>898.2</v>
      </c>
      <c r="AD376" s="42"/>
      <c r="AE376" s="12"/>
    </row>
    <row r="377" spans="1:31" s="46" customFormat="1" ht="21">
      <c r="A377" s="42" t="s">
        <v>0</v>
      </c>
      <c r="B377" s="42" t="s">
        <v>1</v>
      </c>
      <c r="C377" s="45" t="s">
        <v>1473</v>
      </c>
      <c r="D377" s="45" t="s">
        <v>339</v>
      </c>
      <c r="E377" s="10" t="s">
        <v>909</v>
      </c>
      <c r="F377" s="47" t="s">
        <v>140</v>
      </c>
      <c r="G377" s="42"/>
      <c r="H377" s="42"/>
      <c r="I377" s="44">
        <v>50.1</v>
      </c>
      <c r="J377" s="44">
        <f t="shared" si="235"/>
        <v>50.1</v>
      </c>
      <c r="K377" s="42">
        <v>6000</v>
      </c>
      <c r="L377" s="42">
        <f t="shared" si="228"/>
        <v>300600</v>
      </c>
      <c r="M377" s="42"/>
      <c r="N377" s="42"/>
      <c r="O377" s="101"/>
      <c r="P377" s="45"/>
      <c r="Q377" s="42"/>
      <c r="R377" s="100"/>
      <c r="S377" s="42"/>
      <c r="T377" s="12">
        <f t="shared" si="236"/>
        <v>0</v>
      </c>
      <c r="U377" s="45"/>
      <c r="V377" s="12">
        <f>+T377*0</f>
        <v>0</v>
      </c>
      <c r="W377" s="12">
        <f t="shared" si="237"/>
        <v>0</v>
      </c>
      <c r="X377" s="116"/>
      <c r="Y377" s="117">
        <f>+L377+W377</f>
        <v>300600</v>
      </c>
      <c r="Z377" s="12"/>
      <c r="AA377" s="12">
        <f t="shared" si="238"/>
        <v>300600</v>
      </c>
      <c r="AB377" s="12">
        <v>0.3</v>
      </c>
      <c r="AC377" s="12">
        <f t="shared" si="239"/>
        <v>901.8</v>
      </c>
      <c r="AD377" s="42"/>
      <c r="AE377" s="12"/>
    </row>
    <row r="378" spans="1:31" s="46" customFormat="1" ht="21">
      <c r="A378" s="42" t="s">
        <v>0</v>
      </c>
      <c r="B378" s="42" t="s">
        <v>1</v>
      </c>
      <c r="C378" s="45" t="s">
        <v>1474</v>
      </c>
      <c r="D378" s="45" t="s">
        <v>340</v>
      </c>
      <c r="E378" s="10" t="s">
        <v>909</v>
      </c>
      <c r="F378" s="47" t="s">
        <v>140</v>
      </c>
      <c r="G378" s="42"/>
      <c r="H378" s="42"/>
      <c r="I378" s="44">
        <v>51.1</v>
      </c>
      <c r="J378" s="44">
        <f t="shared" si="235"/>
        <v>51.1</v>
      </c>
      <c r="K378" s="42">
        <v>15000</v>
      </c>
      <c r="L378" s="42">
        <f t="shared" si="228"/>
        <v>766500</v>
      </c>
      <c r="M378" s="42"/>
      <c r="N378" s="42"/>
      <c r="O378" s="101"/>
      <c r="P378" s="45"/>
      <c r="Q378" s="42"/>
      <c r="R378" s="100"/>
      <c r="S378" s="42"/>
      <c r="T378" s="12">
        <f t="shared" si="236"/>
        <v>0</v>
      </c>
      <c r="U378" s="45"/>
      <c r="V378" s="12">
        <f>+T378*0</f>
        <v>0</v>
      </c>
      <c r="W378" s="12">
        <f t="shared" si="237"/>
        <v>0</v>
      </c>
      <c r="X378" s="116"/>
      <c r="Y378" s="117">
        <f>+L378+W378</f>
        <v>766500</v>
      </c>
      <c r="Z378" s="12"/>
      <c r="AA378" s="12">
        <f t="shared" si="238"/>
        <v>766500</v>
      </c>
      <c r="AB378" s="12">
        <v>0.3</v>
      </c>
      <c r="AC378" s="12">
        <f t="shared" si="239"/>
        <v>2299.5</v>
      </c>
      <c r="AD378" s="42"/>
      <c r="AE378" s="12"/>
    </row>
    <row r="379" spans="1:31" s="46" customFormat="1" ht="21">
      <c r="A379" s="42" t="s">
        <v>0</v>
      </c>
      <c r="B379" s="42" t="s">
        <v>1</v>
      </c>
      <c r="C379" s="45" t="s">
        <v>768</v>
      </c>
      <c r="D379" s="45" t="s">
        <v>341</v>
      </c>
      <c r="E379" s="10" t="s">
        <v>909</v>
      </c>
      <c r="F379" s="47" t="s">
        <v>167</v>
      </c>
      <c r="G379" s="42"/>
      <c r="H379" s="42"/>
      <c r="I379" s="44">
        <v>24</v>
      </c>
      <c r="J379" s="44">
        <f t="shared" si="235"/>
        <v>24</v>
      </c>
      <c r="K379" s="42">
        <v>21000</v>
      </c>
      <c r="L379" s="42">
        <f>+K379*J379</f>
        <v>504000</v>
      </c>
      <c r="M379" s="42">
        <v>1</v>
      </c>
      <c r="N379" s="42" t="s">
        <v>61</v>
      </c>
      <c r="O379" s="101" t="s">
        <v>454</v>
      </c>
      <c r="P379" s="45">
        <v>2</v>
      </c>
      <c r="Q379" s="100">
        <v>109</v>
      </c>
      <c r="R379" s="100">
        <v>81.96</v>
      </c>
      <c r="S379" s="42">
        <v>6650</v>
      </c>
      <c r="T379" s="12">
        <f t="shared" si="236"/>
        <v>724850</v>
      </c>
      <c r="U379" s="102" t="s">
        <v>344</v>
      </c>
      <c r="V379" s="12">
        <f>+T379*0.93</f>
        <v>674110.5</v>
      </c>
      <c r="W379" s="12">
        <f t="shared" si="237"/>
        <v>50739.5</v>
      </c>
      <c r="X379" s="116"/>
      <c r="Y379" s="117">
        <f>+(L379+L381)*(R379/100)+W379</f>
        <v>892386.7399999999</v>
      </c>
      <c r="Z379" s="12">
        <f>+Y379</f>
        <v>892386.7399999999</v>
      </c>
      <c r="AA379" s="12">
        <f t="shared" si="238"/>
        <v>0</v>
      </c>
      <c r="AB379" s="12"/>
      <c r="AC379" s="12">
        <f t="shared" si="239"/>
        <v>0</v>
      </c>
      <c r="AD379" s="42" t="s">
        <v>906</v>
      </c>
      <c r="AE379" s="12"/>
    </row>
    <row r="380" spans="1:31" s="46" customFormat="1" ht="21">
      <c r="A380" s="42" t="s">
        <v>0</v>
      </c>
      <c r="B380" s="42"/>
      <c r="C380" s="45"/>
      <c r="D380" s="45"/>
      <c r="E380" s="10"/>
      <c r="F380" s="47"/>
      <c r="G380" s="42"/>
      <c r="H380" s="42"/>
      <c r="I380" s="44"/>
      <c r="J380" s="44">
        <f t="shared" si="235"/>
        <v>0</v>
      </c>
      <c r="K380" s="42"/>
      <c r="L380" s="42">
        <f>+K380*J380</f>
        <v>0</v>
      </c>
      <c r="M380" s="42">
        <v>2</v>
      </c>
      <c r="N380" s="42" t="s">
        <v>61</v>
      </c>
      <c r="O380" s="101" t="s">
        <v>454</v>
      </c>
      <c r="P380" s="45">
        <v>3</v>
      </c>
      <c r="Q380" s="100">
        <v>24</v>
      </c>
      <c r="R380" s="100">
        <v>18.04</v>
      </c>
      <c r="S380" s="42">
        <v>6650</v>
      </c>
      <c r="T380" s="12">
        <f t="shared" si="236"/>
        <v>159600</v>
      </c>
      <c r="U380" s="102" t="s">
        <v>344</v>
      </c>
      <c r="V380" s="12">
        <f>+T380*0.93</f>
        <v>148428</v>
      </c>
      <c r="W380" s="12">
        <f t="shared" si="237"/>
        <v>11172</v>
      </c>
      <c r="X380" s="116"/>
      <c r="Y380" s="117">
        <f>(L379+L381)*(R380/100)+W380</f>
        <v>196424.76</v>
      </c>
      <c r="Z380" s="12"/>
      <c r="AA380" s="12">
        <f t="shared" si="238"/>
        <v>196424.76</v>
      </c>
      <c r="AB380" s="12">
        <v>0.3</v>
      </c>
      <c r="AC380" s="12">
        <f t="shared" si="239"/>
        <v>589.27428</v>
      </c>
      <c r="AD380" s="42"/>
      <c r="AE380" s="12"/>
    </row>
    <row r="381" spans="1:31" s="46" customFormat="1" ht="21">
      <c r="A381" s="42" t="s">
        <v>0</v>
      </c>
      <c r="B381" s="42" t="s">
        <v>1</v>
      </c>
      <c r="C381" s="45" t="s">
        <v>767</v>
      </c>
      <c r="D381" s="45" t="s">
        <v>342</v>
      </c>
      <c r="E381" s="10" t="s">
        <v>909</v>
      </c>
      <c r="F381" s="47" t="s">
        <v>167</v>
      </c>
      <c r="G381" s="42"/>
      <c r="H381" s="42"/>
      <c r="I381" s="44">
        <v>24.9</v>
      </c>
      <c r="J381" s="44">
        <f t="shared" si="235"/>
        <v>24.9</v>
      </c>
      <c r="K381" s="42">
        <v>21000</v>
      </c>
      <c r="L381" s="42">
        <f>+K381*J381</f>
        <v>522899.99999999994</v>
      </c>
      <c r="M381" s="42"/>
      <c r="N381" s="42"/>
      <c r="O381" s="101"/>
      <c r="P381" s="45"/>
      <c r="Q381" s="42"/>
      <c r="R381" s="100"/>
      <c r="S381" s="42"/>
      <c r="T381" s="12">
        <f t="shared" si="236"/>
        <v>0</v>
      </c>
      <c r="U381" s="45"/>
      <c r="V381" s="12">
        <f>+T381*0</f>
        <v>0</v>
      </c>
      <c r="W381" s="12">
        <f t="shared" si="237"/>
        <v>0</v>
      </c>
      <c r="X381" s="116"/>
      <c r="Y381" s="117"/>
      <c r="Z381" s="12"/>
      <c r="AA381" s="12">
        <f t="shared" si="238"/>
        <v>0</v>
      </c>
      <c r="AB381" s="12"/>
      <c r="AC381" s="12">
        <f t="shared" si="239"/>
        <v>0</v>
      </c>
      <c r="AD381" s="42"/>
      <c r="AE381" s="12"/>
    </row>
    <row r="382" spans="1:31" s="46" customFormat="1" ht="21">
      <c r="A382" s="42" t="s">
        <v>0</v>
      </c>
      <c r="B382" s="42" t="s">
        <v>1</v>
      </c>
      <c r="C382" s="45" t="s">
        <v>1475</v>
      </c>
      <c r="D382" s="51" t="s">
        <v>343</v>
      </c>
      <c r="E382" s="10" t="s">
        <v>909</v>
      </c>
      <c r="F382" s="47" t="s">
        <v>137</v>
      </c>
      <c r="G382" s="42"/>
      <c r="H382" s="42"/>
      <c r="I382" s="44">
        <v>23.3</v>
      </c>
      <c r="J382" s="44">
        <f t="shared" si="235"/>
        <v>23.3</v>
      </c>
      <c r="K382" s="42">
        <v>12000</v>
      </c>
      <c r="L382" s="42">
        <f>+K382*J382</f>
        <v>279600</v>
      </c>
      <c r="M382" s="42"/>
      <c r="N382" s="42" t="s">
        <v>64</v>
      </c>
      <c r="O382" s="101" t="s">
        <v>446</v>
      </c>
      <c r="P382" s="45">
        <v>2</v>
      </c>
      <c r="Q382" s="100">
        <v>144</v>
      </c>
      <c r="R382" s="100"/>
      <c r="S382" s="42">
        <v>6550</v>
      </c>
      <c r="T382" s="12">
        <f t="shared" si="236"/>
        <v>943200</v>
      </c>
      <c r="U382" s="102" t="s">
        <v>74</v>
      </c>
      <c r="V382" s="12">
        <f>+T382*0.36</f>
        <v>339552</v>
      </c>
      <c r="W382" s="12">
        <f t="shared" si="237"/>
        <v>603648</v>
      </c>
      <c r="X382" s="116"/>
      <c r="Y382" s="117">
        <f>+L382+W382</f>
        <v>883248</v>
      </c>
      <c r="Z382" s="12">
        <f>+Y382</f>
        <v>883248</v>
      </c>
      <c r="AA382" s="12">
        <f t="shared" si="238"/>
        <v>0</v>
      </c>
      <c r="AB382" s="12"/>
      <c r="AC382" s="12">
        <f t="shared" si="239"/>
        <v>0</v>
      </c>
      <c r="AD382" s="42" t="s">
        <v>906</v>
      </c>
      <c r="AE382" s="12"/>
    </row>
    <row r="383" spans="1:31" s="46" customFormat="1" ht="21">
      <c r="A383" s="42"/>
      <c r="B383" s="42"/>
      <c r="C383" s="45"/>
      <c r="D383" s="31"/>
      <c r="E383" s="31"/>
      <c r="F383" s="47"/>
      <c r="G383" s="42"/>
      <c r="H383" s="42"/>
      <c r="I383" s="44"/>
      <c r="J383" s="44">
        <f t="shared" si="235"/>
        <v>0</v>
      </c>
      <c r="K383" s="42"/>
      <c r="L383" s="42">
        <f t="shared" si="228"/>
        <v>0</v>
      </c>
      <c r="M383" s="42"/>
      <c r="N383" s="42"/>
      <c r="O383" s="101"/>
      <c r="P383" s="45"/>
      <c r="Q383" s="42"/>
      <c r="R383" s="42"/>
      <c r="S383" s="42"/>
      <c r="T383" s="12">
        <f t="shared" si="236"/>
        <v>0</v>
      </c>
      <c r="U383" s="45"/>
      <c r="V383" s="12">
        <f>+T383*0</f>
        <v>0</v>
      </c>
      <c r="W383" s="12">
        <f t="shared" si="237"/>
        <v>0</v>
      </c>
      <c r="X383" s="12"/>
      <c r="Y383" s="12">
        <f>+L383+W383</f>
        <v>0</v>
      </c>
      <c r="Z383" s="12"/>
      <c r="AA383" s="12">
        <f t="shared" si="238"/>
        <v>0</v>
      </c>
      <c r="AB383" s="12"/>
      <c r="AC383" s="12">
        <f t="shared" si="239"/>
        <v>0</v>
      </c>
      <c r="AD383" s="42"/>
      <c r="AE383" s="12"/>
    </row>
    <row r="384" spans="1:31" s="46" customFormat="1" ht="21">
      <c r="A384" s="42" t="s">
        <v>0</v>
      </c>
      <c r="B384" s="42" t="s">
        <v>1</v>
      </c>
      <c r="C384" s="45" t="s">
        <v>1476</v>
      </c>
      <c r="D384" s="45" t="s">
        <v>345</v>
      </c>
      <c r="E384" s="29" t="s">
        <v>907</v>
      </c>
      <c r="F384" s="47" t="s">
        <v>140</v>
      </c>
      <c r="G384" s="42"/>
      <c r="H384" s="42"/>
      <c r="I384" s="44">
        <v>52.5</v>
      </c>
      <c r="J384" s="44">
        <f aca="true" t="shared" si="240" ref="J384:J389">+I384+(H384*100)+(G384*400)</f>
        <v>52.5</v>
      </c>
      <c r="K384" s="42">
        <v>12000</v>
      </c>
      <c r="L384" s="42">
        <f t="shared" si="228"/>
        <v>630000</v>
      </c>
      <c r="M384" s="42"/>
      <c r="N384" s="42"/>
      <c r="O384" s="101"/>
      <c r="P384" s="45"/>
      <c r="Q384" s="42"/>
      <c r="R384" s="100"/>
      <c r="S384" s="42"/>
      <c r="T384" s="12">
        <f aca="true" t="shared" si="241" ref="T384:T389">+Q384*S384</f>
        <v>0</v>
      </c>
      <c r="U384" s="45"/>
      <c r="V384" s="12">
        <f aca="true" t="shared" si="242" ref="V384:V389">+T384*0</f>
        <v>0</v>
      </c>
      <c r="W384" s="12">
        <f aca="true" t="shared" si="243" ref="W384:W389">+T384-V384</f>
        <v>0</v>
      </c>
      <c r="X384" s="116"/>
      <c r="Y384" s="117">
        <f aca="true" t="shared" si="244" ref="Y384:Y389">+L384+W384</f>
        <v>630000</v>
      </c>
      <c r="Z384" s="12"/>
      <c r="AA384" s="12">
        <f aca="true" t="shared" si="245" ref="AA384:AA389">+Y384-Z384</f>
        <v>630000</v>
      </c>
      <c r="AB384" s="12">
        <v>0.3</v>
      </c>
      <c r="AC384" s="12">
        <f aca="true" t="shared" si="246" ref="AC384:AC389">+AA384*AB384/100</f>
        <v>1890</v>
      </c>
      <c r="AD384" s="42"/>
      <c r="AE384" s="12"/>
    </row>
    <row r="385" spans="1:31" s="46" customFormat="1" ht="21">
      <c r="A385" s="42"/>
      <c r="B385" s="42"/>
      <c r="C385" s="45"/>
      <c r="D385" s="31"/>
      <c r="E385" s="31"/>
      <c r="F385" s="47"/>
      <c r="G385" s="42"/>
      <c r="H385" s="42"/>
      <c r="I385" s="44"/>
      <c r="J385" s="44">
        <f t="shared" si="240"/>
        <v>0</v>
      </c>
      <c r="K385" s="42"/>
      <c r="L385" s="42">
        <f t="shared" si="228"/>
        <v>0</v>
      </c>
      <c r="M385" s="42"/>
      <c r="N385" s="42"/>
      <c r="O385" s="101"/>
      <c r="P385" s="45"/>
      <c r="Q385" s="42"/>
      <c r="R385" s="42"/>
      <c r="S385" s="42"/>
      <c r="T385" s="12">
        <f t="shared" si="241"/>
        <v>0</v>
      </c>
      <c r="U385" s="45"/>
      <c r="V385" s="12">
        <f t="shared" si="242"/>
        <v>0</v>
      </c>
      <c r="W385" s="12">
        <f t="shared" si="243"/>
        <v>0</v>
      </c>
      <c r="X385" s="12"/>
      <c r="Y385" s="12">
        <f t="shared" si="244"/>
        <v>0</v>
      </c>
      <c r="Z385" s="12"/>
      <c r="AA385" s="12">
        <f t="shared" si="245"/>
        <v>0</v>
      </c>
      <c r="AB385" s="12"/>
      <c r="AC385" s="12">
        <f t="shared" si="246"/>
        <v>0</v>
      </c>
      <c r="AD385" s="42"/>
      <c r="AE385" s="12"/>
    </row>
    <row r="386" spans="1:31" s="46" customFormat="1" ht="21">
      <c r="A386" s="42"/>
      <c r="B386" s="42"/>
      <c r="C386" s="45"/>
      <c r="D386" s="31"/>
      <c r="E386" s="31"/>
      <c r="F386" s="47"/>
      <c r="G386" s="42"/>
      <c r="H386" s="42"/>
      <c r="I386" s="44"/>
      <c r="J386" s="44">
        <f t="shared" si="240"/>
        <v>0</v>
      </c>
      <c r="K386" s="42"/>
      <c r="L386" s="42">
        <f t="shared" si="228"/>
        <v>0</v>
      </c>
      <c r="M386" s="42"/>
      <c r="N386" s="42"/>
      <c r="O386" s="101"/>
      <c r="P386" s="45"/>
      <c r="Q386" s="42"/>
      <c r="R386" s="42"/>
      <c r="S386" s="42"/>
      <c r="T386" s="12">
        <f t="shared" si="241"/>
        <v>0</v>
      </c>
      <c r="U386" s="45"/>
      <c r="V386" s="12">
        <f t="shared" si="242"/>
        <v>0</v>
      </c>
      <c r="W386" s="12">
        <f t="shared" si="243"/>
        <v>0</v>
      </c>
      <c r="X386" s="12"/>
      <c r="Y386" s="12">
        <f t="shared" si="244"/>
        <v>0</v>
      </c>
      <c r="Z386" s="12"/>
      <c r="AA386" s="12">
        <f t="shared" si="245"/>
        <v>0</v>
      </c>
      <c r="AB386" s="12"/>
      <c r="AC386" s="12">
        <f t="shared" si="246"/>
        <v>0</v>
      </c>
      <c r="AD386" s="42"/>
      <c r="AE386" s="12"/>
    </row>
    <row r="387" spans="1:31" s="46" customFormat="1" ht="21">
      <c r="A387" s="42" t="s">
        <v>0</v>
      </c>
      <c r="B387" s="42" t="s">
        <v>1</v>
      </c>
      <c r="C387" s="45" t="s">
        <v>1780</v>
      </c>
      <c r="D387" s="45" t="s">
        <v>1781</v>
      </c>
      <c r="E387" s="10" t="s">
        <v>909</v>
      </c>
      <c r="F387" s="47" t="s">
        <v>137</v>
      </c>
      <c r="G387" s="42"/>
      <c r="H387" s="42"/>
      <c r="I387" s="44">
        <v>38.7</v>
      </c>
      <c r="J387" s="44">
        <f t="shared" si="240"/>
        <v>38.7</v>
      </c>
      <c r="K387" s="42">
        <v>15000</v>
      </c>
      <c r="L387" s="42">
        <f>+K387*J387</f>
        <v>580500</v>
      </c>
      <c r="M387" s="42"/>
      <c r="N387" s="42" t="s">
        <v>61</v>
      </c>
      <c r="O387" s="104" t="s">
        <v>447</v>
      </c>
      <c r="P387" s="45">
        <v>2</v>
      </c>
      <c r="Q387" s="104">
        <v>72</v>
      </c>
      <c r="R387" s="100"/>
      <c r="S387" s="42">
        <v>6650</v>
      </c>
      <c r="T387" s="12">
        <f t="shared" si="241"/>
        <v>478800</v>
      </c>
      <c r="U387" s="102" t="s">
        <v>1782</v>
      </c>
      <c r="V387" s="12">
        <f>+T387*0.85</f>
        <v>406980</v>
      </c>
      <c r="W387" s="12">
        <f t="shared" si="243"/>
        <v>71820</v>
      </c>
      <c r="X387" s="116"/>
      <c r="Y387" s="117">
        <f t="shared" si="244"/>
        <v>652320</v>
      </c>
      <c r="Z387" s="12"/>
      <c r="AA387" s="12">
        <f t="shared" si="245"/>
        <v>652320</v>
      </c>
      <c r="AB387" s="12">
        <v>0.02</v>
      </c>
      <c r="AC387" s="12">
        <f t="shared" si="246"/>
        <v>130.464</v>
      </c>
      <c r="AD387" s="42"/>
      <c r="AE387" s="12"/>
    </row>
    <row r="388" spans="1:31" s="46" customFormat="1" ht="21">
      <c r="A388" s="42"/>
      <c r="B388" s="42"/>
      <c r="C388" s="45"/>
      <c r="D388" s="31"/>
      <c r="E388" s="31"/>
      <c r="F388" s="47"/>
      <c r="G388" s="42"/>
      <c r="H388" s="42"/>
      <c r="I388" s="44"/>
      <c r="J388" s="44">
        <f t="shared" si="240"/>
        <v>0</v>
      </c>
      <c r="K388" s="42"/>
      <c r="L388" s="42">
        <f>+K388*J388</f>
        <v>0</v>
      </c>
      <c r="M388" s="42"/>
      <c r="N388" s="42"/>
      <c r="O388" s="101"/>
      <c r="P388" s="45"/>
      <c r="Q388" s="42"/>
      <c r="R388" s="42"/>
      <c r="S388" s="42"/>
      <c r="T388" s="12">
        <f t="shared" si="241"/>
        <v>0</v>
      </c>
      <c r="U388" s="45"/>
      <c r="V388" s="12">
        <f t="shared" si="242"/>
        <v>0</v>
      </c>
      <c r="W388" s="12">
        <f t="shared" si="243"/>
        <v>0</v>
      </c>
      <c r="X388" s="12"/>
      <c r="Y388" s="12">
        <f t="shared" si="244"/>
        <v>0</v>
      </c>
      <c r="Z388" s="12"/>
      <c r="AA388" s="12">
        <f t="shared" si="245"/>
        <v>0</v>
      </c>
      <c r="AB388" s="12"/>
      <c r="AC388" s="12">
        <f t="shared" si="246"/>
        <v>0</v>
      </c>
      <c r="AD388" s="42"/>
      <c r="AE388" s="12"/>
    </row>
    <row r="389" spans="1:31" s="46" customFormat="1" ht="21">
      <c r="A389" s="42"/>
      <c r="B389" s="42"/>
      <c r="C389" s="45"/>
      <c r="D389" s="31"/>
      <c r="E389" s="31"/>
      <c r="F389" s="47"/>
      <c r="G389" s="42"/>
      <c r="H389" s="42"/>
      <c r="I389" s="44"/>
      <c r="J389" s="44">
        <f t="shared" si="240"/>
        <v>0</v>
      </c>
      <c r="K389" s="42"/>
      <c r="L389" s="42">
        <f>+K389*J389</f>
        <v>0</v>
      </c>
      <c r="M389" s="42"/>
      <c r="N389" s="42"/>
      <c r="O389" s="101"/>
      <c r="P389" s="45"/>
      <c r="Q389" s="42"/>
      <c r="R389" s="42"/>
      <c r="S389" s="42"/>
      <c r="T389" s="12">
        <f t="shared" si="241"/>
        <v>0</v>
      </c>
      <c r="U389" s="45"/>
      <c r="V389" s="12">
        <f t="shared" si="242"/>
        <v>0</v>
      </c>
      <c r="W389" s="12">
        <f t="shared" si="243"/>
        <v>0</v>
      </c>
      <c r="X389" s="12"/>
      <c r="Y389" s="12">
        <f t="shared" si="244"/>
        <v>0</v>
      </c>
      <c r="Z389" s="12"/>
      <c r="AA389" s="12">
        <f t="shared" si="245"/>
        <v>0</v>
      </c>
      <c r="AB389" s="12"/>
      <c r="AC389" s="12">
        <f t="shared" si="246"/>
        <v>0</v>
      </c>
      <c r="AD389" s="42"/>
      <c r="AE389" s="12"/>
    </row>
    <row r="390" spans="1:31" s="46" customFormat="1" ht="21">
      <c r="A390" s="42" t="s">
        <v>0</v>
      </c>
      <c r="B390" s="42" t="s">
        <v>1</v>
      </c>
      <c r="C390" s="45" t="s">
        <v>1477</v>
      </c>
      <c r="D390" s="45" t="s">
        <v>346</v>
      </c>
      <c r="E390" s="30" t="s">
        <v>908</v>
      </c>
      <c r="F390" s="47" t="s">
        <v>143</v>
      </c>
      <c r="G390" s="42"/>
      <c r="H390" s="42"/>
      <c r="I390" s="44">
        <v>62.9</v>
      </c>
      <c r="J390" s="44">
        <f aca="true" t="shared" si="247" ref="J390:J401">+I390+(H390*100)+(G390*400)</f>
        <v>62.9</v>
      </c>
      <c r="K390" s="42">
        <v>80000</v>
      </c>
      <c r="L390" s="42">
        <f t="shared" si="228"/>
        <v>5032000</v>
      </c>
      <c r="M390" s="42"/>
      <c r="N390" s="42" t="s">
        <v>60</v>
      </c>
      <c r="O390" s="101" t="s">
        <v>446</v>
      </c>
      <c r="P390" s="45">
        <v>3</v>
      </c>
      <c r="Q390" s="100">
        <v>96</v>
      </c>
      <c r="R390" s="100"/>
      <c r="S390" s="42">
        <v>7550</v>
      </c>
      <c r="T390" s="12">
        <f aca="true" t="shared" si="248" ref="T390:T401">+Q390*S390</f>
        <v>724800</v>
      </c>
      <c r="U390" s="102" t="s">
        <v>101</v>
      </c>
      <c r="V390" s="12">
        <f>+T390*0.62</f>
        <v>449376</v>
      </c>
      <c r="W390" s="12">
        <f aca="true" t="shared" si="249" ref="W390:W401">+T390-V390</f>
        <v>275424</v>
      </c>
      <c r="X390" s="116"/>
      <c r="Y390" s="117">
        <f>+L390+W390</f>
        <v>5307424</v>
      </c>
      <c r="Z390" s="12"/>
      <c r="AA390" s="12">
        <f aca="true" t="shared" si="250" ref="AA390:AA401">+Y390-Z390</f>
        <v>5307424</v>
      </c>
      <c r="AB390" s="12">
        <v>0.3</v>
      </c>
      <c r="AC390" s="12">
        <f aca="true" t="shared" si="251" ref="AC390:AC401">+AA390*AB390/100</f>
        <v>15922.271999999999</v>
      </c>
      <c r="AD390" s="42"/>
      <c r="AE390" s="12"/>
    </row>
    <row r="391" spans="1:31" s="46" customFormat="1" ht="21">
      <c r="A391" s="42"/>
      <c r="B391" s="42"/>
      <c r="C391" s="45"/>
      <c r="D391" s="31"/>
      <c r="E391" s="31"/>
      <c r="F391" s="47"/>
      <c r="G391" s="42"/>
      <c r="H391" s="42"/>
      <c r="I391" s="44"/>
      <c r="J391" s="44">
        <f t="shared" si="247"/>
        <v>0</v>
      </c>
      <c r="K391" s="42"/>
      <c r="L391" s="42">
        <f t="shared" si="228"/>
        <v>0</v>
      </c>
      <c r="M391" s="42"/>
      <c r="N391" s="42"/>
      <c r="O391" s="101"/>
      <c r="P391" s="45"/>
      <c r="Q391" s="42"/>
      <c r="R391" s="42"/>
      <c r="S391" s="42"/>
      <c r="T391" s="12">
        <f t="shared" si="248"/>
        <v>0</v>
      </c>
      <c r="U391" s="45"/>
      <c r="V391" s="12">
        <f>+T391*0</f>
        <v>0</v>
      </c>
      <c r="W391" s="12">
        <f t="shared" si="249"/>
        <v>0</v>
      </c>
      <c r="X391" s="12"/>
      <c r="Y391" s="12">
        <f>+L391+W391</f>
        <v>0</v>
      </c>
      <c r="Z391" s="12"/>
      <c r="AA391" s="12">
        <f t="shared" si="250"/>
        <v>0</v>
      </c>
      <c r="AB391" s="12"/>
      <c r="AC391" s="12">
        <f t="shared" si="251"/>
        <v>0</v>
      </c>
      <c r="AD391" s="42"/>
      <c r="AE391" s="12"/>
    </row>
    <row r="392" spans="1:31" s="46" customFormat="1" ht="21">
      <c r="A392" s="42"/>
      <c r="B392" s="42"/>
      <c r="C392" s="45"/>
      <c r="D392" s="31"/>
      <c r="E392" s="31"/>
      <c r="F392" s="47"/>
      <c r="G392" s="42"/>
      <c r="H392" s="42"/>
      <c r="I392" s="44"/>
      <c r="J392" s="44">
        <f t="shared" si="247"/>
        <v>0</v>
      </c>
      <c r="K392" s="42"/>
      <c r="L392" s="42">
        <f t="shared" si="228"/>
        <v>0</v>
      </c>
      <c r="M392" s="42"/>
      <c r="N392" s="42"/>
      <c r="O392" s="101"/>
      <c r="P392" s="45"/>
      <c r="Q392" s="42"/>
      <c r="R392" s="42"/>
      <c r="S392" s="42"/>
      <c r="T392" s="12">
        <f t="shared" si="248"/>
        <v>0</v>
      </c>
      <c r="U392" s="45"/>
      <c r="V392" s="12">
        <f>+T392*0</f>
        <v>0</v>
      </c>
      <c r="W392" s="12">
        <f t="shared" si="249"/>
        <v>0</v>
      </c>
      <c r="X392" s="12"/>
      <c r="Y392" s="12">
        <f>+L392+W392</f>
        <v>0</v>
      </c>
      <c r="Z392" s="12"/>
      <c r="AA392" s="12">
        <f t="shared" si="250"/>
        <v>0</v>
      </c>
      <c r="AB392" s="12"/>
      <c r="AC392" s="12">
        <f t="shared" si="251"/>
        <v>0</v>
      </c>
      <c r="AD392" s="42"/>
      <c r="AE392" s="12"/>
    </row>
    <row r="393" spans="1:31" s="46" customFormat="1" ht="21">
      <c r="A393" s="42" t="s">
        <v>0</v>
      </c>
      <c r="B393" s="42" t="s">
        <v>1</v>
      </c>
      <c r="C393" s="45" t="s">
        <v>1478</v>
      </c>
      <c r="D393" s="45" t="s">
        <v>347</v>
      </c>
      <c r="E393" s="29" t="s">
        <v>907</v>
      </c>
      <c r="F393" s="47" t="s">
        <v>167</v>
      </c>
      <c r="G393" s="42"/>
      <c r="H393" s="42"/>
      <c r="I393" s="44">
        <v>11.1</v>
      </c>
      <c r="J393" s="44">
        <f t="shared" si="247"/>
        <v>11.1</v>
      </c>
      <c r="K393" s="42">
        <v>30000</v>
      </c>
      <c r="L393" s="42">
        <f t="shared" si="228"/>
        <v>333000</v>
      </c>
      <c r="M393" s="42">
        <v>1</v>
      </c>
      <c r="N393" s="42" t="s">
        <v>60</v>
      </c>
      <c r="O393" s="101" t="s">
        <v>446</v>
      </c>
      <c r="P393" s="45">
        <v>2</v>
      </c>
      <c r="Q393" s="100">
        <v>56</v>
      </c>
      <c r="R393" s="100">
        <v>77.78</v>
      </c>
      <c r="S393" s="42">
        <v>7550</v>
      </c>
      <c r="T393" s="12">
        <f t="shared" si="248"/>
        <v>422800</v>
      </c>
      <c r="U393" s="102" t="s">
        <v>85</v>
      </c>
      <c r="V393" s="12">
        <f>+T393*0.22</f>
        <v>93016</v>
      </c>
      <c r="W393" s="12">
        <f t="shared" si="249"/>
        <v>329784</v>
      </c>
      <c r="X393" s="116"/>
      <c r="Y393" s="117">
        <f>+(L393+L395)*(R393/100)+W393</f>
        <v>1221142.8</v>
      </c>
      <c r="Z393" s="12">
        <f>+Y393</f>
        <v>1221142.8</v>
      </c>
      <c r="AA393" s="12">
        <f t="shared" si="250"/>
        <v>0</v>
      </c>
      <c r="AB393" s="12"/>
      <c r="AC393" s="12">
        <f t="shared" si="251"/>
        <v>0</v>
      </c>
      <c r="AD393" s="42" t="s">
        <v>906</v>
      </c>
      <c r="AE393" s="12"/>
    </row>
    <row r="394" spans="1:31" s="46" customFormat="1" ht="21">
      <c r="A394" s="42" t="s">
        <v>0</v>
      </c>
      <c r="B394" s="42"/>
      <c r="C394" s="45"/>
      <c r="D394" s="45"/>
      <c r="E394" s="31"/>
      <c r="F394" s="47"/>
      <c r="G394" s="42"/>
      <c r="H394" s="42"/>
      <c r="I394" s="44"/>
      <c r="J394" s="44">
        <f t="shared" si="247"/>
        <v>0</v>
      </c>
      <c r="K394" s="42"/>
      <c r="L394" s="42">
        <f>+K394*J394</f>
        <v>0</v>
      </c>
      <c r="M394" s="42">
        <v>2</v>
      </c>
      <c r="N394" s="42" t="s">
        <v>60</v>
      </c>
      <c r="O394" s="101" t="s">
        <v>446</v>
      </c>
      <c r="P394" s="45">
        <v>3</v>
      </c>
      <c r="Q394" s="100">
        <v>16</v>
      </c>
      <c r="R394" s="100">
        <v>22.22</v>
      </c>
      <c r="S394" s="42">
        <v>7550</v>
      </c>
      <c r="T394" s="12">
        <f t="shared" si="248"/>
        <v>120800</v>
      </c>
      <c r="U394" s="102" t="s">
        <v>85</v>
      </c>
      <c r="V394" s="12">
        <f>+T394*0.22</f>
        <v>26576</v>
      </c>
      <c r="W394" s="12">
        <f t="shared" si="249"/>
        <v>94224</v>
      </c>
      <c r="X394" s="116"/>
      <c r="Y394" s="117">
        <f>+(L393+L395)*(R394/100)+W394</f>
        <v>348865.19999999995</v>
      </c>
      <c r="Z394" s="12"/>
      <c r="AA394" s="12">
        <f t="shared" si="250"/>
        <v>348865.19999999995</v>
      </c>
      <c r="AB394" s="12">
        <v>0.3</v>
      </c>
      <c r="AC394" s="12">
        <f t="shared" si="251"/>
        <v>1046.5955999999999</v>
      </c>
      <c r="AD394" s="42"/>
      <c r="AE394" s="12"/>
    </row>
    <row r="395" spans="1:31" s="46" customFormat="1" ht="21">
      <c r="A395" s="42" t="s">
        <v>0</v>
      </c>
      <c r="B395" s="42" t="s">
        <v>1</v>
      </c>
      <c r="C395" s="45" t="s">
        <v>1479</v>
      </c>
      <c r="D395" s="45" t="s">
        <v>348</v>
      </c>
      <c r="E395" s="29" t="s">
        <v>907</v>
      </c>
      <c r="F395" s="47" t="s">
        <v>167</v>
      </c>
      <c r="G395" s="42"/>
      <c r="H395" s="42"/>
      <c r="I395" s="44">
        <v>27.1</v>
      </c>
      <c r="J395" s="44">
        <f t="shared" si="247"/>
        <v>27.1</v>
      </c>
      <c r="K395" s="42">
        <v>30000</v>
      </c>
      <c r="L395" s="42">
        <f t="shared" si="228"/>
        <v>813000</v>
      </c>
      <c r="M395" s="42"/>
      <c r="N395" s="42"/>
      <c r="O395" s="101"/>
      <c r="P395" s="45"/>
      <c r="Q395" s="42"/>
      <c r="R395" s="100"/>
      <c r="S395" s="42"/>
      <c r="T395" s="12">
        <f t="shared" si="248"/>
        <v>0</v>
      </c>
      <c r="U395" s="45"/>
      <c r="V395" s="12">
        <f>+T395*0</f>
        <v>0</v>
      </c>
      <c r="W395" s="12">
        <f t="shared" si="249"/>
        <v>0</v>
      </c>
      <c r="X395" s="116"/>
      <c r="Y395" s="117"/>
      <c r="Z395" s="12"/>
      <c r="AA395" s="12">
        <f t="shared" si="250"/>
        <v>0</v>
      </c>
      <c r="AB395" s="12"/>
      <c r="AC395" s="12">
        <f t="shared" si="251"/>
        <v>0</v>
      </c>
      <c r="AD395" s="42"/>
      <c r="AE395" s="12"/>
    </row>
    <row r="396" spans="1:31" s="46" customFormat="1" ht="21">
      <c r="A396" s="42"/>
      <c r="B396" s="42"/>
      <c r="C396" s="45"/>
      <c r="D396" s="31"/>
      <c r="E396" s="31"/>
      <c r="F396" s="47"/>
      <c r="G396" s="42"/>
      <c r="H396" s="42"/>
      <c r="I396" s="44"/>
      <c r="J396" s="44">
        <f t="shared" si="247"/>
        <v>0</v>
      </c>
      <c r="K396" s="42"/>
      <c r="L396" s="42">
        <f t="shared" si="228"/>
        <v>0</v>
      </c>
      <c r="M396" s="42"/>
      <c r="N396" s="42"/>
      <c r="O396" s="101"/>
      <c r="P396" s="45"/>
      <c r="Q396" s="42"/>
      <c r="R396" s="42"/>
      <c r="S396" s="42"/>
      <c r="T396" s="12">
        <f t="shared" si="248"/>
        <v>0</v>
      </c>
      <c r="U396" s="45"/>
      <c r="V396" s="12">
        <f>+T396*0</f>
        <v>0</v>
      </c>
      <c r="W396" s="12">
        <f t="shared" si="249"/>
        <v>0</v>
      </c>
      <c r="X396" s="12"/>
      <c r="Y396" s="12">
        <f aca="true" t="shared" si="252" ref="Y396:Y415">+L396+W396</f>
        <v>0</v>
      </c>
      <c r="Z396" s="12"/>
      <c r="AA396" s="12">
        <f t="shared" si="250"/>
        <v>0</v>
      </c>
      <c r="AB396" s="12"/>
      <c r="AC396" s="12">
        <f t="shared" si="251"/>
        <v>0</v>
      </c>
      <c r="AD396" s="42"/>
      <c r="AE396" s="12"/>
    </row>
    <row r="397" spans="1:31" s="46" customFormat="1" ht="21">
      <c r="A397" s="42"/>
      <c r="B397" s="42"/>
      <c r="C397" s="45"/>
      <c r="D397" s="31"/>
      <c r="E397" s="31"/>
      <c r="F397" s="47"/>
      <c r="G397" s="42"/>
      <c r="H397" s="42"/>
      <c r="I397" s="44"/>
      <c r="J397" s="44">
        <f t="shared" si="247"/>
        <v>0</v>
      </c>
      <c r="K397" s="42"/>
      <c r="L397" s="42">
        <f t="shared" si="228"/>
        <v>0</v>
      </c>
      <c r="M397" s="42"/>
      <c r="N397" s="42"/>
      <c r="O397" s="101"/>
      <c r="P397" s="45"/>
      <c r="Q397" s="42"/>
      <c r="R397" s="42"/>
      <c r="S397" s="42"/>
      <c r="T397" s="12">
        <f t="shared" si="248"/>
        <v>0</v>
      </c>
      <c r="U397" s="45"/>
      <c r="V397" s="12">
        <f>+T397*0</f>
        <v>0</v>
      </c>
      <c r="W397" s="12">
        <f t="shared" si="249"/>
        <v>0</v>
      </c>
      <c r="X397" s="12"/>
      <c r="Y397" s="12">
        <f t="shared" si="252"/>
        <v>0</v>
      </c>
      <c r="Z397" s="12"/>
      <c r="AA397" s="12">
        <f t="shared" si="250"/>
        <v>0</v>
      </c>
      <c r="AB397" s="12"/>
      <c r="AC397" s="12">
        <f t="shared" si="251"/>
        <v>0</v>
      </c>
      <c r="AD397" s="42"/>
      <c r="AE397" s="12"/>
    </row>
    <row r="398" spans="1:31" s="46" customFormat="1" ht="21">
      <c r="A398" s="42" t="s">
        <v>0</v>
      </c>
      <c r="B398" s="42" t="s">
        <v>1</v>
      </c>
      <c r="C398" s="45" t="s">
        <v>1480</v>
      </c>
      <c r="D398" s="45" t="s">
        <v>349</v>
      </c>
      <c r="E398" s="10" t="s">
        <v>909</v>
      </c>
      <c r="F398" s="47" t="s">
        <v>177</v>
      </c>
      <c r="G398" s="42">
        <v>9</v>
      </c>
      <c r="H398" s="42">
        <v>3</v>
      </c>
      <c r="I398" s="44">
        <v>88</v>
      </c>
      <c r="J398" s="44">
        <f t="shared" si="247"/>
        <v>3988</v>
      </c>
      <c r="K398" s="42">
        <v>4500</v>
      </c>
      <c r="L398" s="42">
        <f t="shared" si="228"/>
        <v>17946000</v>
      </c>
      <c r="M398" s="42"/>
      <c r="N398" s="42"/>
      <c r="O398" s="101"/>
      <c r="P398" s="45"/>
      <c r="Q398" s="42"/>
      <c r="R398" s="100"/>
      <c r="S398" s="42"/>
      <c r="T398" s="12">
        <f t="shared" si="248"/>
        <v>0</v>
      </c>
      <c r="U398" s="45"/>
      <c r="V398" s="12">
        <f>+T398*0</f>
        <v>0</v>
      </c>
      <c r="W398" s="12">
        <f t="shared" si="249"/>
        <v>0</v>
      </c>
      <c r="X398" s="116"/>
      <c r="Y398" s="117">
        <f t="shared" si="252"/>
        <v>17946000</v>
      </c>
      <c r="Z398" s="12">
        <f>+Y398</f>
        <v>17946000</v>
      </c>
      <c r="AA398" s="12">
        <f t="shared" si="250"/>
        <v>0</v>
      </c>
      <c r="AB398" s="12"/>
      <c r="AC398" s="12">
        <f t="shared" si="251"/>
        <v>0</v>
      </c>
      <c r="AD398" s="42"/>
      <c r="AE398" s="12"/>
    </row>
    <row r="399" spans="1:31" s="46" customFormat="1" ht="21">
      <c r="A399" s="42" t="s">
        <v>0</v>
      </c>
      <c r="B399" s="42" t="s">
        <v>1</v>
      </c>
      <c r="C399" s="45" t="s">
        <v>1481</v>
      </c>
      <c r="D399" s="45" t="s">
        <v>350</v>
      </c>
      <c r="E399" s="10" t="s">
        <v>909</v>
      </c>
      <c r="F399" s="47" t="s">
        <v>140</v>
      </c>
      <c r="G399" s="42"/>
      <c r="H399" s="42">
        <v>3</v>
      </c>
      <c r="I399" s="44">
        <v>68.8</v>
      </c>
      <c r="J399" s="44">
        <f t="shared" si="247"/>
        <v>368.8</v>
      </c>
      <c r="K399" s="42">
        <v>4000</v>
      </c>
      <c r="L399" s="42">
        <f t="shared" si="228"/>
        <v>1475200</v>
      </c>
      <c r="M399" s="42"/>
      <c r="N399" s="42"/>
      <c r="O399" s="101"/>
      <c r="P399" s="45"/>
      <c r="Q399" s="42"/>
      <c r="R399" s="100"/>
      <c r="S399" s="42"/>
      <c r="T399" s="12">
        <f t="shared" si="248"/>
        <v>0</v>
      </c>
      <c r="U399" s="45"/>
      <c r="V399" s="12">
        <f>+T399*0</f>
        <v>0</v>
      </c>
      <c r="W399" s="12">
        <f t="shared" si="249"/>
        <v>0</v>
      </c>
      <c r="X399" s="116"/>
      <c r="Y399" s="117">
        <f t="shared" si="252"/>
        <v>1475200</v>
      </c>
      <c r="Z399" s="12"/>
      <c r="AA399" s="12">
        <f t="shared" si="250"/>
        <v>1475200</v>
      </c>
      <c r="AB399" s="12">
        <v>0.3</v>
      </c>
      <c r="AC399" s="12">
        <f t="shared" si="251"/>
        <v>4425.6</v>
      </c>
      <c r="AD399" s="42"/>
      <c r="AE399" s="12"/>
    </row>
    <row r="400" spans="1:31" s="46" customFormat="1" ht="21">
      <c r="A400" s="42" t="s">
        <v>0</v>
      </c>
      <c r="B400" s="42" t="s">
        <v>1</v>
      </c>
      <c r="C400" s="45" t="s">
        <v>1482</v>
      </c>
      <c r="D400" s="45" t="s">
        <v>351</v>
      </c>
      <c r="E400" s="10" t="s">
        <v>909</v>
      </c>
      <c r="F400" s="47" t="s">
        <v>137</v>
      </c>
      <c r="G400" s="42">
        <v>1</v>
      </c>
      <c r="H400" s="42">
        <v>1</v>
      </c>
      <c r="I400" s="44">
        <v>50</v>
      </c>
      <c r="J400" s="44">
        <f t="shared" si="247"/>
        <v>550</v>
      </c>
      <c r="K400" s="42">
        <v>22500</v>
      </c>
      <c r="L400" s="42">
        <f t="shared" si="228"/>
        <v>12375000</v>
      </c>
      <c r="M400" s="42"/>
      <c r="N400" s="42" t="s">
        <v>64</v>
      </c>
      <c r="O400" s="101" t="s">
        <v>446</v>
      </c>
      <c r="P400" s="45">
        <v>2</v>
      </c>
      <c r="Q400" s="100">
        <v>58.5</v>
      </c>
      <c r="R400" s="100"/>
      <c r="S400" s="42">
        <v>6550</v>
      </c>
      <c r="T400" s="12">
        <f t="shared" si="248"/>
        <v>383175</v>
      </c>
      <c r="U400" s="102" t="s">
        <v>92</v>
      </c>
      <c r="V400" s="12">
        <f>+T400*0.42</f>
        <v>160933.5</v>
      </c>
      <c r="W400" s="12">
        <f t="shared" si="249"/>
        <v>222241.5</v>
      </c>
      <c r="X400" s="116"/>
      <c r="Y400" s="117">
        <f t="shared" si="252"/>
        <v>12597241.5</v>
      </c>
      <c r="Z400" s="12">
        <f>+Y400</f>
        <v>12597241.5</v>
      </c>
      <c r="AA400" s="12">
        <f t="shared" si="250"/>
        <v>0</v>
      </c>
      <c r="AB400" s="12"/>
      <c r="AC400" s="12">
        <f t="shared" si="251"/>
        <v>0</v>
      </c>
      <c r="AD400" s="42" t="s">
        <v>906</v>
      </c>
      <c r="AE400" s="12"/>
    </row>
    <row r="401" spans="1:31" s="46" customFormat="1" ht="21">
      <c r="A401" s="42"/>
      <c r="B401" s="42"/>
      <c r="C401" s="45"/>
      <c r="D401" s="31"/>
      <c r="E401" s="31"/>
      <c r="F401" s="47"/>
      <c r="G401" s="42"/>
      <c r="H401" s="42"/>
      <c r="I401" s="44"/>
      <c r="J401" s="44">
        <f t="shared" si="247"/>
        <v>0</v>
      </c>
      <c r="K401" s="42"/>
      <c r="L401" s="42">
        <f t="shared" si="228"/>
        <v>0</v>
      </c>
      <c r="M401" s="42"/>
      <c r="N401" s="42"/>
      <c r="O401" s="101"/>
      <c r="P401" s="45"/>
      <c r="Q401" s="42"/>
      <c r="R401" s="42"/>
      <c r="S401" s="42"/>
      <c r="T401" s="12">
        <f t="shared" si="248"/>
        <v>0</v>
      </c>
      <c r="U401" s="45"/>
      <c r="V401" s="12">
        <f>+T401*0</f>
        <v>0</v>
      </c>
      <c r="W401" s="12">
        <f t="shared" si="249"/>
        <v>0</v>
      </c>
      <c r="X401" s="12"/>
      <c r="Y401" s="12">
        <f t="shared" si="252"/>
        <v>0</v>
      </c>
      <c r="Z401" s="12"/>
      <c r="AA401" s="12">
        <f t="shared" si="250"/>
        <v>0</v>
      </c>
      <c r="AB401" s="12"/>
      <c r="AC401" s="12">
        <f t="shared" si="251"/>
        <v>0</v>
      </c>
      <c r="AD401" s="42"/>
      <c r="AE401" s="12"/>
    </row>
    <row r="402" spans="1:31" s="46" customFormat="1" ht="21">
      <c r="A402" s="42" t="s">
        <v>0</v>
      </c>
      <c r="B402" s="42" t="s">
        <v>1</v>
      </c>
      <c r="C402" s="45" t="s">
        <v>1483</v>
      </c>
      <c r="D402" s="45" t="s">
        <v>352</v>
      </c>
      <c r="E402" s="30" t="s">
        <v>908</v>
      </c>
      <c r="F402" s="47" t="s">
        <v>143</v>
      </c>
      <c r="G402" s="42">
        <v>1</v>
      </c>
      <c r="H402" s="42"/>
      <c r="I402" s="44">
        <v>23.2</v>
      </c>
      <c r="J402" s="44">
        <f aca="true" t="shared" si="253" ref="J402:J408">+I402+(H402*100)+(G402*400)</f>
        <v>423.2</v>
      </c>
      <c r="K402" s="42">
        <v>37500</v>
      </c>
      <c r="L402" s="42">
        <f t="shared" si="228"/>
        <v>15870000</v>
      </c>
      <c r="M402" s="42"/>
      <c r="N402" s="42"/>
      <c r="O402" s="101"/>
      <c r="P402" s="45"/>
      <c r="Q402" s="42"/>
      <c r="R402" s="100"/>
      <c r="S402" s="42"/>
      <c r="T402" s="12">
        <f aca="true" t="shared" si="254" ref="T402:T408">+Q402*S402</f>
        <v>0</v>
      </c>
      <c r="U402" s="45"/>
      <c r="V402" s="12">
        <f aca="true" t="shared" si="255" ref="V402:V408">+T402*0</f>
        <v>0</v>
      </c>
      <c r="W402" s="12">
        <f aca="true" t="shared" si="256" ref="W402:W408">+T402-V402</f>
        <v>0</v>
      </c>
      <c r="X402" s="116"/>
      <c r="Y402" s="117">
        <f t="shared" si="252"/>
        <v>15870000</v>
      </c>
      <c r="Z402" s="12"/>
      <c r="AA402" s="12">
        <f aca="true" t="shared" si="257" ref="AA402:AA408">+Y402-Z402</f>
        <v>15870000</v>
      </c>
      <c r="AB402" s="12">
        <v>0.3</v>
      </c>
      <c r="AC402" s="12">
        <f aca="true" t="shared" si="258" ref="AC402:AC408">+AA402*AB402/100</f>
        <v>47610</v>
      </c>
      <c r="AD402" s="42"/>
      <c r="AE402" s="12"/>
    </row>
    <row r="403" spans="1:31" s="46" customFormat="1" ht="21">
      <c r="A403" s="42"/>
      <c r="B403" s="42"/>
      <c r="C403" s="45"/>
      <c r="D403" s="31"/>
      <c r="E403" s="31"/>
      <c r="F403" s="47"/>
      <c r="G403" s="42"/>
      <c r="H403" s="42"/>
      <c r="I403" s="44"/>
      <c r="J403" s="44">
        <f t="shared" si="253"/>
        <v>0</v>
      </c>
      <c r="K403" s="42"/>
      <c r="L403" s="42">
        <f t="shared" si="228"/>
        <v>0</v>
      </c>
      <c r="M403" s="42"/>
      <c r="N403" s="42"/>
      <c r="O403" s="101"/>
      <c r="P403" s="45"/>
      <c r="Q403" s="42"/>
      <c r="R403" s="42"/>
      <c r="S403" s="42"/>
      <c r="T403" s="12">
        <f t="shared" si="254"/>
        <v>0</v>
      </c>
      <c r="U403" s="45"/>
      <c r="V403" s="12">
        <f t="shared" si="255"/>
        <v>0</v>
      </c>
      <c r="W403" s="12">
        <f t="shared" si="256"/>
        <v>0</v>
      </c>
      <c r="X403" s="12"/>
      <c r="Y403" s="12">
        <f t="shared" si="252"/>
        <v>0</v>
      </c>
      <c r="Z403" s="12"/>
      <c r="AA403" s="12">
        <f t="shared" si="257"/>
        <v>0</v>
      </c>
      <c r="AB403" s="12"/>
      <c r="AC403" s="12">
        <f t="shared" si="258"/>
        <v>0</v>
      </c>
      <c r="AD403" s="42"/>
      <c r="AE403" s="12"/>
    </row>
    <row r="404" spans="1:31" s="46" customFormat="1" ht="21">
      <c r="A404" s="42"/>
      <c r="B404" s="42"/>
      <c r="C404" s="45"/>
      <c r="D404" s="31"/>
      <c r="E404" s="31"/>
      <c r="F404" s="47"/>
      <c r="G404" s="42"/>
      <c r="H404" s="42"/>
      <c r="I404" s="44"/>
      <c r="J404" s="44">
        <f t="shared" si="253"/>
        <v>0</v>
      </c>
      <c r="K404" s="42"/>
      <c r="L404" s="42">
        <f t="shared" si="228"/>
        <v>0</v>
      </c>
      <c r="M404" s="42"/>
      <c r="N404" s="42"/>
      <c r="O404" s="101"/>
      <c r="P404" s="45"/>
      <c r="Q404" s="42"/>
      <c r="R404" s="42"/>
      <c r="S404" s="42"/>
      <c r="T404" s="12">
        <f t="shared" si="254"/>
        <v>0</v>
      </c>
      <c r="U404" s="45"/>
      <c r="V404" s="12">
        <f t="shared" si="255"/>
        <v>0</v>
      </c>
      <c r="W404" s="12">
        <f t="shared" si="256"/>
        <v>0</v>
      </c>
      <c r="X404" s="12"/>
      <c r="Y404" s="12">
        <f t="shared" si="252"/>
        <v>0</v>
      </c>
      <c r="Z404" s="12"/>
      <c r="AA404" s="12">
        <f t="shared" si="257"/>
        <v>0</v>
      </c>
      <c r="AB404" s="12"/>
      <c r="AC404" s="12">
        <f t="shared" si="258"/>
        <v>0</v>
      </c>
      <c r="AD404" s="42"/>
      <c r="AE404" s="12"/>
    </row>
    <row r="405" spans="1:31" s="46" customFormat="1" ht="21">
      <c r="A405" s="42" t="s">
        <v>0</v>
      </c>
      <c r="B405" s="42" t="s">
        <v>1</v>
      </c>
      <c r="C405" s="45" t="s">
        <v>1484</v>
      </c>
      <c r="D405" s="45" t="s">
        <v>353</v>
      </c>
      <c r="E405" s="29" t="s">
        <v>907</v>
      </c>
      <c r="F405" s="47" t="s">
        <v>137</v>
      </c>
      <c r="G405" s="42"/>
      <c r="H405" s="42">
        <v>1</v>
      </c>
      <c r="I405" s="44">
        <v>85.4</v>
      </c>
      <c r="J405" s="44">
        <f>+I405+(H405*100)+(G405*400)</f>
        <v>185.4</v>
      </c>
      <c r="K405" s="42">
        <v>8000</v>
      </c>
      <c r="L405" s="42">
        <f>+K405*J405</f>
        <v>1483200</v>
      </c>
      <c r="M405" s="42"/>
      <c r="N405" s="42" t="s">
        <v>64</v>
      </c>
      <c r="O405" s="101" t="s">
        <v>446</v>
      </c>
      <c r="P405" s="45">
        <v>2</v>
      </c>
      <c r="Q405" s="100">
        <v>91.3</v>
      </c>
      <c r="R405" s="100"/>
      <c r="S405" s="42">
        <v>6550</v>
      </c>
      <c r="T405" s="12">
        <f>+Q405*S405</f>
        <v>598015</v>
      </c>
      <c r="U405" s="102" t="s">
        <v>93</v>
      </c>
      <c r="V405" s="12">
        <f>+T405*0.44</f>
        <v>263126.6</v>
      </c>
      <c r="W405" s="12">
        <f>+T405-V405</f>
        <v>334888.4</v>
      </c>
      <c r="X405" s="116"/>
      <c r="Y405" s="117">
        <f t="shared" si="252"/>
        <v>1818088.4</v>
      </c>
      <c r="Z405" s="12">
        <f>+Y405</f>
        <v>1818088.4</v>
      </c>
      <c r="AA405" s="12">
        <f>+Y405-Z405</f>
        <v>0</v>
      </c>
      <c r="AB405" s="12"/>
      <c r="AC405" s="12">
        <f>+AA405*AB405/100</f>
        <v>0</v>
      </c>
      <c r="AD405" s="42" t="s">
        <v>906</v>
      </c>
      <c r="AE405" s="12"/>
    </row>
    <row r="406" spans="1:31" s="46" customFormat="1" ht="21">
      <c r="A406" s="42" t="s">
        <v>0</v>
      </c>
      <c r="B406" s="42" t="s">
        <v>1</v>
      </c>
      <c r="C406" s="45" t="s">
        <v>1485</v>
      </c>
      <c r="D406" s="45" t="s">
        <v>354</v>
      </c>
      <c r="E406" s="29" t="s">
        <v>907</v>
      </c>
      <c r="F406" s="47" t="s">
        <v>137</v>
      </c>
      <c r="G406" s="42"/>
      <c r="H406" s="42"/>
      <c r="I406" s="44">
        <v>46.2</v>
      </c>
      <c r="J406" s="44">
        <f>+I406+(H406*100)+(G406*400)</f>
        <v>46.2</v>
      </c>
      <c r="K406" s="42">
        <v>3900</v>
      </c>
      <c r="L406" s="42">
        <f>+K406*J406</f>
        <v>180180</v>
      </c>
      <c r="M406" s="42"/>
      <c r="N406" s="42" t="s">
        <v>117</v>
      </c>
      <c r="O406" s="104" t="s">
        <v>446</v>
      </c>
      <c r="P406" s="45" t="s">
        <v>137</v>
      </c>
      <c r="Q406" s="104">
        <v>165</v>
      </c>
      <c r="R406" s="100"/>
      <c r="S406" s="42">
        <v>2500</v>
      </c>
      <c r="T406" s="12">
        <f>+Q406*S406</f>
        <v>412500</v>
      </c>
      <c r="U406" s="102" t="s">
        <v>100</v>
      </c>
      <c r="V406" s="12">
        <f>+T406*0.6</f>
        <v>247500</v>
      </c>
      <c r="W406" s="12">
        <f>+T406-V406</f>
        <v>165000</v>
      </c>
      <c r="X406" s="116"/>
      <c r="Y406" s="117">
        <f t="shared" si="252"/>
        <v>345180</v>
      </c>
      <c r="Z406" s="12"/>
      <c r="AA406" s="12">
        <f>+Y406-Z406</f>
        <v>345180</v>
      </c>
      <c r="AB406" s="12">
        <v>0.02</v>
      </c>
      <c r="AC406" s="12">
        <f>+AA406*AB406/100</f>
        <v>69.036</v>
      </c>
      <c r="AD406" s="42"/>
      <c r="AE406" s="12"/>
    </row>
    <row r="407" spans="1:31" s="46" customFormat="1" ht="21">
      <c r="A407" s="42" t="s">
        <v>0</v>
      </c>
      <c r="B407" s="42"/>
      <c r="C407" s="45"/>
      <c r="D407" s="45"/>
      <c r="E407" s="31"/>
      <c r="F407" s="47" t="s">
        <v>177</v>
      </c>
      <c r="G407" s="42">
        <v>4</v>
      </c>
      <c r="H407" s="42"/>
      <c r="I407" s="44"/>
      <c r="J407" s="44">
        <f t="shared" si="253"/>
        <v>1600</v>
      </c>
      <c r="K407" s="42">
        <v>3900</v>
      </c>
      <c r="L407" s="42">
        <f t="shared" si="228"/>
        <v>6240000</v>
      </c>
      <c r="M407" s="42"/>
      <c r="N407" s="42"/>
      <c r="O407" s="101"/>
      <c r="P407" s="45"/>
      <c r="Q407" s="42"/>
      <c r="R407" s="100"/>
      <c r="S407" s="42"/>
      <c r="T407" s="12">
        <f t="shared" si="254"/>
        <v>0</v>
      </c>
      <c r="U407" s="45"/>
      <c r="V407" s="12">
        <f t="shared" si="255"/>
        <v>0</v>
      </c>
      <c r="W407" s="12">
        <f t="shared" si="256"/>
        <v>0</v>
      </c>
      <c r="X407" s="116"/>
      <c r="Y407" s="117">
        <f t="shared" si="252"/>
        <v>6240000</v>
      </c>
      <c r="Z407" s="12">
        <f>+Y407</f>
        <v>6240000</v>
      </c>
      <c r="AA407" s="12">
        <f t="shared" si="257"/>
        <v>0</v>
      </c>
      <c r="AB407" s="12"/>
      <c r="AC407" s="12">
        <f t="shared" si="258"/>
        <v>0</v>
      </c>
      <c r="AD407" s="42"/>
      <c r="AE407" s="12"/>
    </row>
    <row r="408" spans="1:31" s="46" customFormat="1" ht="21">
      <c r="A408" s="42"/>
      <c r="B408" s="42"/>
      <c r="C408" s="45"/>
      <c r="D408" s="31"/>
      <c r="E408" s="31"/>
      <c r="F408" s="47"/>
      <c r="G408" s="42"/>
      <c r="H408" s="42"/>
      <c r="I408" s="44"/>
      <c r="J408" s="44">
        <f t="shared" si="253"/>
        <v>0</v>
      </c>
      <c r="K408" s="42"/>
      <c r="L408" s="42">
        <f t="shared" si="228"/>
        <v>0</v>
      </c>
      <c r="M408" s="42"/>
      <c r="N408" s="42"/>
      <c r="O408" s="101"/>
      <c r="P408" s="45"/>
      <c r="Q408" s="42"/>
      <c r="R408" s="42"/>
      <c r="S408" s="42"/>
      <c r="T408" s="12">
        <f t="shared" si="254"/>
        <v>0</v>
      </c>
      <c r="U408" s="45"/>
      <c r="V408" s="12">
        <f t="shared" si="255"/>
        <v>0</v>
      </c>
      <c r="W408" s="12">
        <f t="shared" si="256"/>
        <v>0</v>
      </c>
      <c r="X408" s="12"/>
      <c r="Y408" s="12">
        <f t="shared" si="252"/>
        <v>0</v>
      </c>
      <c r="Z408" s="12"/>
      <c r="AA408" s="12">
        <f t="shared" si="257"/>
        <v>0</v>
      </c>
      <c r="AB408" s="12"/>
      <c r="AC408" s="12">
        <f t="shared" si="258"/>
        <v>0</v>
      </c>
      <c r="AD408" s="42"/>
      <c r="AE408" s="12"/>
    </row>
    <row r="409" spans="1:31" s="46" customFormat="1" ht="21">
      <c r="A409" s="42" t="s">
        <v>0</v>
      </c>
      <c r="B409" s="42" t="s">
        <v>1</v>
      </c>
      <c r="C409" s="45" t="s">
        <v>1486</v>
      </c>
      <c r="D409" s="45" t="s">
        <v>355</v>
      </c>
      <c r="E409" s="30" t="s">
        <v>908</v>
      </c>
      <c r="F409" s="47" t="s">
        <v>137</v>
      </c>
      <c r="G409" s="42"/>
      <c r="H409" s="42"/>
      <c r="I409" s="44">
        <v>19.2</v>
      </c>
      <c r="J409" s="44">
        <f aca="true" t="shared" si="259" ref="J409:J415">+I409+(H409*100)+(G409*400)</f>
        <v>19.2</v>
      </c>
      <c r="K409" s="42">
        <v>15000</v>
      </c>
      <c r="L409" s="42">
        <f t="shared" si="228"/>
        <v>288000</v>
      </c>
      <c r="M409" s="42"/>
      <c r="N409" s="42" t="s">
        <v>62</v>
      </c>
      <c r="O409" s="101" t="s">
        <v>446</v>
      </c>
      <c r="P409" s="45">
        <v>2</v>
      </c>
      <c r="Q409" s="100">
        <v>128</v>
      </c>
      <c r="R409" s="100"/>
      <c r="S409" s="42">
        <v>6750</v>
      </c>
      <c r="T409" s="12">
        <f aca="true" t="shared" si="260" ref="T409:T415">+Q409*S409</f>
        <v>864000</v>
      </c>
      <c r="U409" s="102" t="s">
        <v>92</v>
      </c>
      <c r="V409" s="12">
        <f>+T409*0.42</f>
        <v>362880</v>
      </c>
      <c r="W409" s="12">
        <f aca="true" t="shared" si="261" ref="W409:W415">+T409-V409</f>
        <v>501120</v>
      </c>
      <c r="X409" s="116"/>
      <c r="Y409" s="117">
        <f t="shared" si="252"/>
        <v>789120</v>
      </c>
      <c r="Z409" s="12"/>
      <c r="AA409" s="12">
        <f aca="true" t="shared" si="262" ref="AA409:AA415">+Y409-Z409</f>
        <v>789120</v>
      </c>
      <c r="AB409" s="12">
        <v>0.02</v>
      </c>
      <c r="AC409" s="12">
        <f aca="true" t="shared" si="263" ref="AC409:AC415">+AA409*AB409/100</f>
        <v>157.82399999999998</v>
      </c>
      <c r="AD409" s="42"/>
      <c r="AE409" s="12"/>
    </row>
    <row r="410" spans="1:31" s="46" customFormat="1" ht="21">
      <c r="A410" s="42"/>
      <c r="B410" s="42"/>
      <c r="C410" s="45"/>
      <c r="D410" s="31"/>
      <c r="E410" s="31"/>
      <c r="F410" s="47"/>
      <c r="G410" s="42"/>
      <c r="H410" s="42"/>
      <c r="I410" s="44"/>
      <c r="J410" s="44">
        <f t="shared" si="259"/>
        <v>0</v>
      </c>
      <c r="K410" s="42"/>
      <c r="L410" s="42">
        <f t="shared" si="228"/>
        <v>0</v>
      </c>
      <c r="M410" s="42"/>
      <c r="N410" s="42"/>
      <c r="O410" s="101"/>
      <c r="P410" s="45"/>
      <c r="Q410" s="42"/>
      <c r="R410" s="42"/>
      <c r="S410" s="42"/>
      <c r="T410" s="12">
        <f t="shared" si="260"/>
        <v>0</v>
      </c>
      <c r="U410" s="45"/>
      <c r="V410" s="12">
        <f aca="true" t="shared" si="264" ref="V410:V415">+T410*0</f>
        <v>0</v>
      </c>
      <c r="W410" s="12">
        <f t="shared" si="261"/>
        <v>0</v>
      </c>
      <c r="X410" s="12"/>
      <c r="Y410" s="12">
        <f t="shared" si="252"/>
        <v>0</v>
      </c>
      <c r="Z410" s="12"/>
      <c r="AA410" s="12">
        <f t="shared" si="262"/>
        <v>0</v>
      </c>
      <c r="AB410" s="12"/>
      <c r="AC410" s="12">
        <f t="shared" si="263"/>
        <v>0</v>
      </c>
      <c r="AD410" s="42"/>
      <c r="AE410" s="12"/>
    </row>
    <row r="411" spans="1:31" s="46" customFormat="1" ht="21">
      <c r="A411" s="42"/>
      <c r="B411" s="42"/>
      <c r="C411" s="45"/>
      <c r="D411" s="31"/>
      <c r="E411" s="31"/>
      <c r="F411" s="47"/>
      <c r="G411" s="42"/>
      <c r="H411" s="42"/>
      <c r="I411" s="44"/>
      <c r="J411" s="44">
        <f t="shared" si="259"/>
        <v>0</v>
      </c>
      <c r="K411" s="42"/>
      <c r="L411" s="42">
        <f t="shared" si="228"/>
        <v>0</v>
      </c>
      <c r="M411" s="42"/>
      <c r="N411" s="42"/>
      <c r="O411" s="101"/>
      <c r="P411" s="45"/>
      <c r="Q411" s="42"/>
      <c r="R411" s="42"/>
      <c r="S411" s="42"/>
      <c r="T411" s="12">
        <f t="shared" si="260"/>
        <v>0</v>
      </c>
      <c r="U411" s="45"/>
      <c r="V411" s="12">
        <f t="shared" si="264"/>
        <v>0</v>
      </c>
      <c r="W411" s="12">
        <f t="shared" si="261"/>
        <v>0</v>
      </c>
      <c r="X411" s="12"/>
      <c r="Y411" s="12">
        <f t="shared" si="252"/>
        <v>0</v>
      </c>
      <c r="Z411" s="12"/>
      <c r="AA411" s="12">
        <f t="shared" si="262"/>
        <v>0</v>
      </c>
      <c r="AB411" s="12"/>
      <c r="AC411" s="12">
        <f t="shared" si="263"/>
        <v>0</v>
      </c>
      <c r="AD411" s="42"/>
      <c r="AE411" s="12"/>
    </row>
    <row r="412" spans="1:31" s="46" customFormat="1" ht="21">
      <c r="A412" s="42" t="s">
        <v>0</v>
      </c>
      <c r="B412" s="42" t="s">
        <v>1</v>
      </c>
      <c r="C412" s="45" t="s">
        <v>1759</v>
      </c>
      <c r="D412" s="45" t="s">
        <v>356</v>
      </c>
      <c r="E412" s="29" t="s">
        <v>907</v>
      </c>
      <c r="F412" s="47" t="s">
        <v>140</v>
      </c>
      <c r="G412" s="42"/>
      <c r="H412" s="42"/>
      <c r="I412" s="44">
        <v>67.8</v>
      </c>
      <c r="J412" s="44">
        <f t="shared" si="259"/>
        <v>67.8</v>
      </c>
      <c r="K412" s="42">
        <v>12000</v>
      </c>
      <c r="L412" s="42">
        <f t="shared" si="228"/>
        <v>813600</v>
      </c>
      <c r="M412" s="42"/>
      <c r="N412" s="42"/>
      <c r="O412" s="101"/>
      <c r="P412" s="45"/>
      <c r="Q412" s="42"/>
      <c r="R412" s="100"/>
      <c r="S412" s="42"/>
      <c r="T412" s="12">
        <f t="shared" si="260"/>
        <v>0</v>
      </c>
      <c r="U412" s="45"/>
      <c r="V412" s="12">
        <f t="shared" si="264"/>
        <v>0</v>
      </c>
      <c r="W412" s="12">
        <f t="shared" si="261"/>
        <v>0</v>
      </c>
      <c r="X412" s="116"/>
      <c r="Y412" s="117">
        <f t="shared" si="252"/>
        <v>813600</v>
      </c>
      <c r="Z412" s="12"/>
      <c r="AA412" s="12">
        <f t="shared" si="262"/>
        <v>813600</v>
      </c>
      <c r="AB412" s="12">
        <v>0.3</v>
      </c>
      <c r="AC412" s="12">
        <f t="shared" si="263"/>
        <v>2440.8</v>
      </c>
      <c r="AD412" s="42"/>
      <c r="AE412" s="12"/>
    </row>
    <row r="413" spans="1:31" s="46" customFormat="1" ht="21">
      <c r="A413" s="42" t="s">
        <v>0</v>
      </c>
      <c r="B413" s="42" t="s">
        <v>1</v>
      </c>
      <c r="C413" s="45" t="s">
        <v>1760</v>
      </c>
      <c r="D413" s="45" t="s">
        <v>357</v>
      </c>
      <c r="E413" s="29" t="s">
        <v>907</v>
      </c>
      <c r="F413" s="47" t="s">
        <v>140</v>
      </c>
      <c r="G413" s="42"/>
      <c r="H413" s="42"/>
      <c r="I413" s="44">
        <v>71.2</v>
      </c>
      <c r="J413" s="44">
        <f t="shared" si="259"/>
        <v>71.2</v>
      </c>
      <c r="K413" s="42">
        <v>12000</v>
      </c>
      <c r="L413" s="42">
        <f t="shared" si="228"/>
        <v>854400</v>
      </c>
      <c r="M413" s="42"/>
      <c r="N413" s="42"/>
      <c r="O413" s="101"/>
      <c r="P413" s="45"/>
      <c r="Q413" s="42"/>
      <c r="R413" s="100"/>
      <c r="S413" s="42"/>
      <c r="T413" s="12">
        <f t="shared" si="260"/>
        <v>0</v>
      </c>
      <c r="U413" s="45"/>
      <c r="V413" s="12">
        <f t="shared" si="264"/>
        <v>0</v>
      </c>
      <c r="W413" s="12">
        <f t="shared" si="261"/>
        <v>0</v>
      </c>
      <c r="X413" s="116"/>
      <c r="Y413" s="117">
        <f t="shared" si="252"/>
        <v>854400</v>
      </c>
      <c r="Z413" s="12"/>
      <c r="AA413" s="12">
        <f t="shared" si="262"/>
        <v>854400</v>
      </c>
      <c r="AB413" s="12">
        <v>0.3</v>
      </c>
      <c r="AC413" s="12">
        <f t="shared" si="263"/>
        <v>2563.2</v>
      </c>
      <c r="AD413" s="42"/>
      <c r="AE413" s="12"/>
    </row>
    <row r="414" spans="1:31" s="46" customFormat="1" ht="21">
      <c r="A414" s="42" t="s">
        <v>0</v>
      </c>
      <c r="B414" s="42" t="s">
        <v>1</v>
      </c>
      <c r="C414" s="45" t="s">
        <v>1761</v>
      </c>
      <c r="D414" s="45" t="s">
        <v>358</v>
      </c>
      <c r="E414" s="29" t="s">
        <v>907</v>
      </c>
      <c r="F414" s="47" t="s">
        <v>140</v>
      </c>
      <c r="G414" s="42"/>
      <c r="H414" s="42"/>
      <c r="I414" s="44">
        <v>46.4</v>
      </c>
      <c r="J414" s="44">
        <f t="shared" si="259"/>
        <v>46.4</v>
      </c>
      <c r="K414" s="42">
        <v>12000</v>
      </c>
      <c r="L414" s="42">
        <f t="shared" si="228"/>
        <v>556800</v>
      </c>
      <c r="M414" s="42"/>
      <c r="N414" s="42"/>
      <c r="O414" s="101"/>
      <c r="P414" s="45"/>
      <c r="Q414" s="42"/>
      <c r="R414" s="100"/>
      <c r="S414" s="42"/>
      <c r="T414" s="12">
        <f t="shared" si="260"/>
        <v>0</v>
      </c>
      <c r="U414" s="45"/>
      <c r="V414" s="12">
        <f t="shared" si="264"/>
        <v>0</v>
      </c>
      <c r="W414" s="12">
        <f t="shared" si="261"/>
        <v>0</v>
      </c>
      <c r="X414" s="116"/>
      <c r="Y414" s="117">
        <f t="shared" si="252"/>
        <v>556800</v>
      </c>
      <c r="Z414" s="12"/>
      <c r="AA414" s="12">
        <f t="shared" si="262"/>
        <v>556800</v>
      </c>
      <c r="AB414" s="12">
        <v>0.3</v>
      </c>
      <c r="AC414" s="12">
        <f t="shared" si="263"/>
        <v>1670.4</v>
      </c>
      <c r="AD414" s="42"/>
      <c r="AE414" s="12"/>
    </row>
    <row r="415" spans="1:31" s="46" customFormat="1" ht="21">
      <c r="A415" s="42" t="s">
        <v>0</v>
      </c>
      <c r="B415" s="42" t="s">
        <v>1</v>
      </c>
      <c r="C415" s="45" t="s">
        <v>1762</v>
      </c>
      <c r="D415" s="45" t="s">
        <v>359</v>
      </c>
      <c r="E415" s="29" t="s">
        <v>907</v>
      </c>
      <c r="F415" s="47" t="s">
        <v>140</v>
      </c>
      <c r="G415" s="42"/>
      <c r="H415" s="42"/>
      <c r="I415" s="44">
        <v>46.4</v>
      </c>
      <c r="J415" s="44">
        <f t="shared" si="259"/>
        <v>46.4</v>
      </c>
      <c r="K415" s="42">
        <v>12000</v>
      </c>
      <c r="L415" s="42">
        <f t="shared" si="228"/>
        <v>556800</v>
      </c>
      <c r="M415" s="42"/>
      <c r="N415" s="42"/>
      <c r="O415" s="101"/>
      <c r="P415" s="45"/>
      <c r="Q415" s="42"/>
      <c r="R415" s="100"/>
      <c r="S415" s="42"/>
      <c r="T415" s="12">
        <f t="shared" si="260"/>
        <v>0</v>
      </c>
      <c r="U415" s="45"/>
      <c r="V415" s="12">
        <f t="shared" si="264"/>
        <v>0</v>
      </c>
      <c r="W415" s="12">
        <f t="shared" si="261"/>
        <v>0</v>
      </c>
      <c r="X415" s="116"/>
      <c r="Y415" s="117">
        <f t="shared" si="252"/>
        <v>556800</v>
      </c>
      <c r="Z415" s="12"/>
      <c r="AA415" s="12">
        <f t="shared" si="262"/>
        <v>556800</v>
      </c>
      <c r="AB415" s="12">
        <v>0.3</v>
      </c>
      <c r="AC415" s="12">
        <f t="shared" si="263"/>
        <v>1670.4</v>
      </c>
      <c r="AD415" s="42"/>
      <c r="AE415" s="12"/>
    </row>
    <row r="416" spans="1:31" s="46" customFormat="1" ht="21">
      <c r="A416" s="42" t="s">
        <v>0</v>
      </c>
      <c r="B416" s="42" t="s">
        <v>1</v>
      </c>
      <c r="C416" s="45" t="s">
        <v>1501</v>
      </c>
      <c r="D416" s="45" t="s">
        <v>360</v>
      </c>
      <c r="E416" s="30" t="s">
        <v>908</v>
      </c>
      <c r="F416" s="47" t="s">
        <v>167</v>
      </c>
      <c r="G416" s="42"/>
      <c r="H416" s="42"/>
      <c r="I416" s="44">
        <v>20.7</v>
      </c>
      <c r="J416" s="44">
        <f aca="true" t="shared" si="265" ref="J416:J421">+I416+(H416*100)+(G416*400)</f>
        <v>20.7</v>
      </c>
      <c r="K416" s="42">
        <v>60000</v>
      </c>
      <c r="L416" s="42">
        <f aca="true" t="shared" si="266" ref="L416:L421">+K416*J416</f>
        <v>1242000</v>
      </c>
      <c r="M416" s="42">
        <v>1</v>
      </c>
      <c r="N416" s="42" t="s">
        <v>60</v>
      </c>
      <c r="O416" s="101" t="s">
        <v>446</v>
      </c>
      <c r="P416" s="45">
        <v>2</v>
      </c>
      <c r="Q416" s="100">
        <v>128</v>
      </c>
      <c r="R416" s="100">
        <v>88.89</v>
      </c>
      <c r="S416" s="42">
        <v>7550</v>
      </c>
      <c r="T416" s="12">
        <f aca="true" t="shared" si="267" ref="T416:T421">+Q416*S416</f>
        <v>966400</v>
      </c>
      <c r="U416" s="102" t="s">
        <v>102</v>
      </c>
      <c r="V416" s="12">
        <f aca="true" t="shared" si="268" ref="V416:V421">+T416*0.64</f>
        <v>618496</v>
      </c>
      <c r="W416" s="12">
        <f aca="true" t="shared" si="269" ref="W416:W421">+T416-V416</f>
        <v>347904</v>
      </c>
      <c r="X416" s="116"/>
      <c r="Y416" s="117">
        <f>+L416*(R416/100)+W416</f>
        <v>1451917.8</v>
      </c>
      <c r="Z416" s="12"/>
      <c r="AA416" s="12">
        <f aca="true" t="shared" si="270" ref="AA416:AA421">+Y416-Z416</f>
        <v>1451917.8</v>
      </c>
      <c r="AB416" s="12">
        <v>0.02</v>
      </c>
      <c r="AC416" s="12">
        <f aca="true" t="shared" si="271" ref="AC416:AC421">+AA416*AB416/100</f>
        <v>290.38356</v>
      </c>
      <c r="AD416" s="42"/>
      <c r="AE416" s="12"/>
    </row>
    <row r="417" spans="1:31" s="46" customFormat="1" ht="21">
      <c r="A417" s="42" t="s">
        <v>0</v>
      </c>
      <c r="B417" s="42"/>
      <c r="C417" s="45"/>
      <c r="D417" s="45"/>
      <c r="E417" s="31"/>
      <c r="F417" s="47"/>
      <c r="G417" s="42"/>
      <c r="H417" s="42"/>
      <c r="I417" s="44"/>
      <c r="J417" s="44">
        <f t="shared" si="265"/>
        <v>0</v>
      </c>
      <c r="K417" s="42"/>
      <c r="L417" s="42">
        <f t="shared" si="266"/>
        <v>0</v>
      </c>
      <c r="M417" s="42">
        <v>2</v>
      </c>
      <c r="N417" s="42" t="s">
        <v>60</v>
      </c>
      <c r="O417" s="101" t="s">
        <v>446</v>
      </c>
      <c r="P417" s="45">
        <v>3</v>
      </c>
      <c r="Q417" s="100">
        <v>16</v>
      </c>
      <c r="R417" s="100">
        <v>11.11</v>
      </c>
      <c r="S417" s="42">
        <v>7550</v>
      </c>
      <c r="T417" s="12">
        <f t="shared" si="267"/>
        <v>120800</v>
      </c>
      <c r="U417" s="102" t="s">
        <v>102</v>
      </c>
      <c r="V417" s="12">
        <f t="shared" si="268"/>
        <v>77312</v>
      </c>
      <c r="W417" s="12">
        <f t="shared" si="269"/>
        <v>43488</v>
      </c>
      <c r="X417" s="116"/>
      <c r="Y417" s="117">
        <f>+L416*(R417/100)+W417</f>
        <v>181474.19999999998</v>
      </c>
      <c r="Z417" s="12"/>
      <c r="AA417" s="12">
        <f t="shared" si="270"/>
        <v>181474.19999999998</v>
      </c>
      <c r="AB417" s="12">
        <v>0.3</v>
      </c>
      <c r="AC417" s="12">
        <f t="shared" si="271"/>
        <v>544.4226</v>
      </c>
      <c r="AD417" s="42"/>
      <c r="AE417" s="12"/>
    </row>
    <row r="418" spans="1:31" s="46" customFormat="1" ht="21">
      <c r="A418" s="42" t="s">
        <v>0</v>
      </c>
      <c r="B418" s="42" t="s">
        <v>1</v>
      </c>
      <c r="C418" s="45" t="s">
        <v>1763</v>
      </c>
      <c r="D418" s="45" t="s">
        <v>361</v>
      </c>
      <c r="E418" s="30" t="s">
        <v>908</v>
      </c>
      <c r="F418" s="47" t="s">
        <v>167</v>
      </c>
      <c r="G418" s="42"/>
      <c r="H418" s="42"/>
      <c r="I418" s="44">
        <v>20.9</v>
      </c>
      <c r="J418" s="44">
        <f t="shared" si="265"/>
        <v>20.9</v>
      </c>
      <c r="K418" s="42">
        <v>60000</v>
      </c>
      <c r="L418" s="42">
        <f t="shared" si="266"/>
        <v>1254000</v>
      </c>
      <c r="M418" s="42">
        <v>1</v>
      </c>
      <c r="N418" s="42" t="s">
        <v>60</v>
      </c>
      <c r="O418" s="101" t="s">
        <v>446</v>
      </c>
      <c r="P418" s="45">
        <v>2</v>
      </c>
      <c r="Q418" s="100">
        <v>128</v>
      </c>
      <c r="R418" s="100">
        <v>88.89</v>
      </c>
      <c r="S418" s="42">
        <v>7550</v>
      </c>
      <c r="T418" s="12">
        <f t="shared" si="267"/>
        <v>966400</v>
      </c>
      <c r="U418" s="102" t="s">
        <v>102</v>
      </c>
      <c r="V418" s="12">
        <f t="shared" si="268"/>
        <v>618496</v>
      </c>
      <c r="W418" s="12">
        <f t="shared" si="269"/>
        <v>347904</v>
      </c>
      <c r="X418" s="116"/>
      <c r="Y418" s="117">
        <f>+L418*(R418/100)+W418</f>
        <v>1462584.6</v>
      </c>
      <c r="Z418" s="12"/>
      <c r="AA418" s="12">
        <f t="shared" si="270"/>
        <v>1462584.6</v>
      </c>
      <c r="AB418" s="12">
        <v>0.02</v>
      </c>
      <c r="AC418" s="12">
        <f t="shared" si="271"/>
        <v>292.51692</v>
      </c>
      <c r="AD418" s="42"/>
      <c r="AE418" s="12"/>
    </row>
    <row r="419" spans="1:31" s="46" customFormat="1" ht="21">
      <c r="A419" s="42" t="s">
        <v>0</v>
      </c>
      <c r="B419" s="42"/>
      <c r="C419" s="45"/>
      <c r="D419" s="45"/>
      <c r="E419" s="31"/>
      <c r="F419" s="47"/>
      <c r="G419" s="42"/>
      <c r="H419" s="42"/>
      <c r="I419" s="44"/>
      <c r="J419" s="44">
        <f>+I419+(H419*100)+(G419*400)</f>
        <v>0</v>
      </c>
      <c r="K419" s="42"/>
      <c r="L419" s="42">
        <f>+K419*J419</f>
        <v>0</v>
      </c>
      <c r="M419" s="42">
        <v>2</v>
      </c>
      <c r="N419" s="42" t="s">
        <v>60</v>
      </c>
      <c r="O419" s="101" t="s">
        <v>446</v>
      </c>
      <c r="P419" s="45">
        <v>3</v>
      </c>
      <c r="Q419" s="100">
        <v>16</v>
      </c>
      <c r="R419" s="100">
        <v>11.11</v>
      </c>
      <c r="S419" s="42">
        <v>7550</v>
      </c>
      <c r="T419" s="12">
        <f>+Q419*S419</f>
        <v>120800</v>
      </c>
      <c r="U419" s="102" t="s">
        <v>102</v>
      </c>
      <c r="V419" s="12">
        <f t="shared" si="268"/>
        <v>77312</v>
      </c>
      <c r="W419" s="12">
        <f>+T419-V419</f>
        <v>43488</v>
      </c>
      <c r="X419" s="116"/>
      <c r="Y419" s="117">
        <f>+L418*(R419/100)+W419</f>
        <v>182807.4</v>
      </c>
      <c r="Z419" s="12"/>
      <c r="AA419" s="12">
        <f>+Y419-Z419</f>
        <v>182807.4</v>
      </c>
      <c r="AB419" s="12">
        <v>0.3</v>
      </c>
      <c r="AC419" s="12">
        <f>+AA419*AB419/100</f>
        <v>548.4222</v>
      </c>
      <c r="AD419" s="42"/>
      <c r="AE419" s="12"/>
    </row>
    <row r="420" spans="1:31" s="46" customFormat="1" ht="21">
      <c r="A420" s="42" t="s">
        <v>0</v>
      </c>
      <c r="B420" s="42" t="s">
        <v>1</v>
      </c>
      <c r="C420" s="45" t="s">
        <v>1764</v>
      </c>
      <c r="D420" s="45" t="s">
        <v>362</v>
      </c>
      <c r="E420" s="30" t="s">
        <v>908</v>
      </c>
      <c r="F420" s="47" t="s">
        <v>137</v>
      </c>
      <c r="G420" s="42"/>
      <c r="H420" s="42"/>
      <c r="I420" s="44">
        <v>25</v>
      </c>
      <c r="J420" s="44">
        <f t="shared" si="265"/>
        <v>25</v>
      </c>
      <c r="K420" s="42">
        <v>60000</v>
      </c>
      <c r="L420" s="42">
        <f t="shared" si="266"/>
        <v>1500000</v>
      </c>
      <c r="M420" s="42"/>
      <c r="N420" s="42" t="s">
        <v>60</v>
      </c>
      <c r="O420" s="101" t="s">
        <v>446</v>
      </c>
      <c r="P420" s="45">
        <v>2</v>
      </c>
      <c r="Q420" s="100">
        <v>144</v>
      </c>
      <c r="R420" s="100"/>
      <c r="S420" s="42">
        <v>7550</v>
      </c>
      <c r="T420" s="12">
        <f t="shared" si="267"/>
        <v>1087200</v>
      </c>
      <c r="U420" s="102" t="s">
        <v>102</v>
      </c>
      <c r="V420" s="12">
        <f t="shared" si="268"/>
        <v>695808</v>
      </c>
      <c r="W420" s="12">
        <f t="shared" si="269"/>
        <v>391392</v>
      </c>
      <c r="X420" s="116"/>
      <c r="Y420" s="117">
        <f aca="true" t="shared" si="272" ref="Y420:Y428">+L420+W420</f>
        <v>1891392</v>
      </c>
      <c r="Z420" s="12"/>
      <c r="AA420" s="12">
        <f t="shared" si="270"/>
        <v>1891392</v>
      </c>
      <c r="AB420" s="12">
        <v>0.02</v>
      </c>
      <c r="AC420" s="12">
        <f t="shared" si="271"/>
        <v>378.27840000000003</v>
      </c>
      <c r="AD420" s="42"/>
      <c r="AE420" s="12"/>
    </row>
    <row r="421" spans="1:31" s="46" customFormat="1" ht="21">
      <c r="A421" s="42" t="s">
        <v>0</v>
      </c>
      <c r="B421" s="42" t="s">
        <v>1</v>
      </c>
      <c r="C421" s="45" t="s">
        <v>1765</v>
      </c>
      <c r="D421" s="45" t="s">
        <v>363</v>
      </c>
      <c r="E421" s="30" t="s">
        <v>908</v>
      </c>
      <c r="F421" s="47" t="s">
        <v>137</v>
      </c>
      <c r="G421" s="42"/>
      <c r="H421" s="42"/>
      <c r="I421" s="44">
        <v>57.1</v>
      </c>
      <c r="J421" s="44">
        <f t="shared" si="265"/>
        <v>57.1</v>
      </c>
      <c r="K421" s="42">
        <v>36000</v>
      </c>
      <c r="L421" s="42">
        <f t="shared" si="266"/>
        <v>2055600</v>
      </c>
      <c r="M421" s="42"/>
      <c r="N421" s="42" t="s">
        <v>60</v>
      </c>
      <c r="O421" s="101" t="s">
        <v>446</v>
      </c>
      <c r="P421" s="45" t="s">
        <v>137</v>
      </c>
      <c r="Q421" s="100">
        <v>24</v>
      </c>
      <c r="R421" s="100"/>
      <c r="S421" s="42">
        <v>7550</v>
      </c>
      <c r="T421" s="12">
        <f t="shared" si="267"/>
        <v>181200</v>
      </c>
      <c r="U421" s="102" t="s">
        <v>102</v>
      </c>
      <c r="V421" s="12">
        <f t="shared" si="268"/>
        <v>115968</v>
      </c>
      <c r="W421" s="12">
        <f t="shared" si="269"/>
        <v>65232</v>
      </c>
      <c r="X421" s="116"/>
      <c r="Y421" s="117">
        <f t="shared" si="272"/>
        <v>2120832</v>
      </c>
      <c r="Z421" s="12"/>
      <c r="AA421" s="12">
        <f t="shared" si="270"/>
        <v>2120832</v>
      </c>
      <c r="AB421" s="12">
        <v>0.02</v>
      </c>
      <c r="AC421" s="12">
        <f t="shared" si="271"/>
        <v>424.1664</v>
      </c>
      <c r="AD421" s="42"/>
      <c r="AE421" s="12"/>
    </row>
    <row r="422" spans="1:31" s="46" customFormat="1" ht="21">
      <c r="A422" s="42" t="s">
        <v>0</v>
      </c>
      <c r="B422" s="42" t="s">
        <v>1</v>
      </c>
      <c r="C422" s="45" t="s">
        <v>1487</v>
      </c>
      <c r="D422" s="51" t="s">
        <v>449</v>
      </c>
      <c r="E422" s="29" t="s">
        <v>907</v>
      </c>
      <c r="F422" s="47" t="s">
        <v>177</v>
      </c>
      <c r="G422" s="42">
        <v>2</v>
      </c>
      <c r="H422" s="42">
        <v>1</v>
      </c>
      <c r="I422" s="44">
        <v>31.5</v>
      </c>
      <c r="J422" s="44">
        <f aca="true" t="shared" si="273" ref="J422:J437">+I422+(H422*100)+(G422*400)</f>
        <v>931.5</v>
      </c>
      <c r="K422" s="42">
        <v>6000</v>
      </c>
      <c r="L422" s="42">
        <f t="shared" si="228"/>
        <v>5589000</v>
      </c>
      <c r="M422" s="42"/>
      <c r="N422" s="42"/>
      <c r="O422" s="101"/>
      <c r="P422" s="45"/>
      <c r="Q422" s="42"/>
      <c r="R422" s="100"/>
      <c r="S422" s="42"/>
      <c r="T422" s="12">
        <f aca="true" t="shared" si="274" ref="T422:T437">+Q422*S422</f>
        <v>0</v>
      </c>
      <c r="U422" s="45"/>
      <c r="V422" s="12">
        <f>+T422*0</f>
        <v>0</v>
      </c>
      <c r="W422" s="12">
        <f aca="true" t="shared" si="275" ref="W422:W437">+T422-V422</f>
        <v>0</v>
      </c>
      <c r="X422" s="116"/>
      <c r="Y422" s="117">
        <f t="shared" si="272"/>
        <v>5589000</v>
      </c>
      <c r="Z422" s="12">
        <f>+Y422</f>
        <v>5589000</v>
      </c>
      <c r="AA422" s="12">
        <f aca="true" t="shared" si="276" ref="AA422:AA437">+Y422-Z422</f>
        <v>0</v>
      </c>
      <c r="AB422" s="12"/>
      <c r="AC422" s="12">
        <f aca="true" t="shared" si="277" ref="AC422:AC437">+AA422*AB422/100</f>
        <v>0</v>
      </c>
      <c r="AD422" s="42"/>
      <c r="AE422" s="12"/>
    </row>
    <row r="423" spans="1:31" s="46" customFormat="1" ht="21">
      <c r="A423" s="42" t="s">
        <v>0</v>
      </c>
      <c r="B423" s="42" t="s">
        <v>1</v>
      </c>
      <c r="C423" s="45" t="s">
        <v>1488</v>
      </c>
      <c r="D423" s="51" t="s">
        <v>450</v>
      </c>
      <c r="E423" s="29" t="s">
        <v>907</v>
      </c>
      <c r="F423" s="47" t="s">
        <v>137</v>
      </c>
      <c r="G423" s="42"/>
      <c r="H423" s="42"/>
      <c r="I423" s="44">
        <v>31.5</v>
      </c>
      <c r="J423" s="44">
        <f t="shared" si="273"/>
        <v>31.5</v>
      </c>
      <c r="K423" s="42">
        <v>6000</v>
      </c>
      <c r="L423" s="42">
        <f t="shared" si="228"/>
        <v>189000</v>
      </c>
      <c r="M423" s="42"/>
      <c r="N423" s="42" t="s">
        <v>60</v>
      </c>
      <c r="O423" s="101" t="s">
        <v>446</v>
      </c>
      <c r="P423" s="45">
        <v>2</v>
      </c>
      <c r="Q423" s="100">
        <v>96</v>
      </c>
      <c r="R423" s="100"/>
      <c r="S423" s="42">
        <v>7550</v>
      </c>
      <c r="T423" s="12">
        <f t="shared" si="274"/>
        <v>724800</v>
      </c>
      <c r="U423" s="45" t="s">
        <v>379</v>
      </c>
      <c r="V423" s="12">
        <f>+T423*0.03</f>
        <v>21744</v>
      </c>
      <c r="W423" s="12">
        <f t="shared" si="275"/>
        <v>703056</v>
      </c>
      <c r="X423" s="116"/>
      <c r="Y423" s="117">
        <f t="shared" si="272"/>
        <v>892056</v>
      </c>
      <c r="Z423" s="12"/>
      <c r="AA423" s="12">
        <f t="shared" si="276"/>
        <v>892056</v>
      </c>
      <c r="AB423" s="12">
        <v>0.02</v>
      </c>
      <c r="AC423" s="12">
        <f t="shared" si="277"/>
        <v>178.41119999999998</v>
      </c>
      <c r="AD423" s="42"/>
      <c r="AE423" s="12"/>
    </row>
    <row r="424" spans="1:31" s="46" customFormat="1" ht="21">
      <c r="A424" s="42" t="s">
        <v>0</v>
      </c>
      <c r="B424" s="42"/>
      <c r="C424" s="45"/>
      <c r="D424" s="45"/>
      <c r="E424" s="31"/>
      <c r="F424" s="47" t="s">
        <v>177</v>
      </c>
      <c r="G424" s="42">
        <v>2</v>
      </c>
      <c r="H424" s="42">
        <v>1</v>
      </c>
      <c r="I424" s="44"/>
      <c r="J424" s="44">
        <f t="shared" si="273"/>
        <v>900</v>
      </c>
      <c r="K424" s="42">
        <v>6000</v>
      </c>
      <c r="L424" s="42">
        <f t="shared" si="228"/>
        <v>5400000</v>
      </c>
      <c r="M424" s="42"/>
      <c r="N424" s="42"/>
      <c r="O424" s="101"/>
      <c r="P424" s="45"/>
      <c r="Q424" s="42"/>
      <c r="R424" s="100"/>
      <c r="S424" s="42"/>
      <c r="T424" s="12">
        <f t="shared" si="274"/>
        <v>0</v>
      </c>
      <c r="U424" s="45"/>
      <c r="V424" s="12">
        <f>+T424*0</f>
        <v>0</v>
      </c>
      <c r="W424" s="12">
        <f t="shared" si="275"/>
        <v>0</v>
      </c>
      <c r="X424" s="116"/>
      <c r="Y424" s="117">
        <f t="shared" si="272"/>
        <v>5400000</v>
      </c>
      <c r="Z424" s="12">
        <f>+Y424</f>
        <v>5400000</v>
      </c>
      <c r="AA424" s="12">
        <f t="shared" si="276"/>
        <v>0</v>
      </c>
      <c r="AB424" s="12"/>
      <c r="AC424" s="12">
        <f t="shared" si="277"/>
        <v>0</v>
      </c>
      <c r="AD424" s="42"/>
      <c r="AE424" s="12"/>
    </row>
    <row r="425" spans="1:31" s="46" customFormat="1" ht="21">
      <c r="A425" s="42"/>
      <c r="B425" s="42"/>
      <c r="C425" s="45"/>
      <c r="D425" s="31"/>
      <c r="E425" s="31"/>
      <c r="F425" s="47"/>
      <c r="G425" s="42"/>
      <c r="H425" s="42"/>
      <c r="I425" s="44"/>
      <c r="J425" s="44">
        <f t="shared" si="273"/>
        <v>0</v>
      </c>
      <c r="K425" s="42"/>
      <c r="L425" s="42">
        <f t="shared" si="228"/>
        <v>0</v>
      </c>
      <c r="M425" s="42"/>
      <c r="N425" s="42"/>
      <c r="O425" s="101"/>
      <c r="P425" s="45"/>
      <c r="Q425" s="42"/>
      <c r="R425" s="42"/>
      <c r="S425" s="42"/>
      <c r="T425" s="12">
        <f t="shared" si="274"/>
        <v>0</v>
      </c>
      <c r="U425" s="45"/>
      <c r="V425" s="12">
        <f>+T425*0</f>
        <v>0</v>
      </c>
      <c r="W425" s="12">
        <f t="shared" si="275"/>
        <v>0</v>
      </c>
      <c r="X425" s="12"/>
      <c r="Y425" s="12">
        <f t="shared" si="272"/>
        <v>0</v>
      </c>
      <c r="Z425" s="12"/>
      <c r="AA425" s="12">
        <f t="shared" si="276"/>
        <v>0</v>
      </c>
      <c r="AB425" s="12"/>
      <c r="AC425" s="12">
        <f t="shared" si="277"/>
        <v>0</v>
      </c>
      <c r="AD425" s="42"/>
      <c r="AE425" s="12"/>
    </row>
    <row r="426" spans="1:31" s="46" customFormat="1" ht="21">
      <c r="A426" s="42" t="s">
        <v>0</v>
      </c>
      <c r="B426" s="42" t="s">
        <v>1</v>
      </c>
      <c r="C426" s="45" t="s">
        <v>1489</v>
      </c>
      <c r="D426" s="45" t="s">
        <v>451</v>
      </c>
      <c r="E426" s="29" t="s">
        <v>907</v>
      </c>
      <c r="F426" s="47" t="s">
        <v>137</v>
      </c>
      <c r="G426" s="42"/>
      <c r="H426" s="42">
        <v>1</v>
      </c>
      <c r="I426" s="44">
        <v>71.1</v>
      </c>
      <c r="J426" s="44">
        <f t="shared" si="273"/>
        <v>171.1</v>
      </c>
      <c r="K426" s="42">
        <v>10000</v>
      </c>
      <c r="L426" s="42">
        <f t="shared" si="228"/>
        <v>1711000</v>
      </c>
      <c r="M426" s="42"/>
      <c r="N426" s="42" t="s">
        <v>60</v>
      </c>
      <c r="O426" s="101" t="s">
        <v>446</v>
      </c>
      <c r="P426" s="45">
        <v>2</v>
      </c>
      <c r="Q426" s="100">
        <v>48</v>
      </c>
      <c r="R426" s="100"/>
      <c r="S426" s="42">
        <v>7550</v>
      </c>
      <c r="T426" s="12">
        <f t="shared" si="274"/>
        <v>362400</v>
      </c>
      <c r="U426" s="102" t="s">
        <v>94</v>
      </c>
      <c r="V426" s="12">
        <f>+T426*0.46</f>
        <v>166704</v>
      </c>
      <c r="W426" s="12">
        <f t="shared" si="275"/>
        <v>195696</v>
      </c>
      <c r="X426" s="116"/>
      <c r="Y426" s="117">
        <f t="shared" si="272"/>
        <v>1906696</v>
      </c>
      <c r="Z426" s="12">
        <f>+Y426</f>
        <v>1906696</v>
      </c>
      <c r="AA426" s="12">
        <f t="shared" si="276"/>
        <v>0</v>
      </c>
      <c r="AB426" s="12"/>
      <c r="AC426" s="12">
        <f t="shared" si="277"/>
        <v>0</v>
      </c>
      <c r="AD426" s="42" t="s">
        <v>906</v>
      </c>
      <c r="AE426" s="12"/>
    </row>
    <row r="427" spans="1:31" s="46" customFormat="1" ht="21">
      <c r="A427" s="42"/>
      <c r="B427" s="42"/>
      <c r="C427" s="45"/>
      <c r="D427" s="31"/>
      <c r="E427" s="31"/>
      <c r="F427" s="47"/>
      <c r="G427" s="42"/>
      <c r="H427" s="42"/>
      <c r="I427" s="44"/>
      <c r="J427" s="44">
        <f t="shared" si="273"/>
        <v>0</v>
      </c>
      <c r="K427" s="42"/>
      <c r="L427" s="42">
        <f t="shared" si="228"/>
        <v>0</v>
      </c>
      <c r="M427" s="42"/>
      <c r="N427" s="42"/>
      <c r="O427" s="101"/>
      <c r="P427" s="45"/>
      <c r="Q427" s="42"/>
      <c r="R427" s="42"/>
      <c r="S427" s="42"/>
      <c r="T427" s="12">
        <f t="shared" si="274"/>
        <v>0</v>
      </c>
      <c r="U427" s="45"/>
      <c r="V427" s="12">
        <f>+T427*0</f>
        <v>0</v>
      </c>
      <c r="W427" s="12">
        <f t="shared" si="275"/>
        <v>0</v>
      </c>
      <c r="X427" s="12"/>
      <c r="Y427" s="12">
        <f t="shared" si="272"/>
        <v>0</v>
      </c>
      <c r="Z427" s="12"/>
      <c r="AA427" s="12">
        <f t="shared" si="276"/>
        <v>0</v>
      </c>
      <c r="AB427" s="12"/>
      <c r="AC427" s="12">
        <f t="shared" si="277"/>
        <v>0</v>
      </c>
      <c r="AD427" s="42"/>
      <c r="AE427" s="12"/>
    </row>
    <row r="428" spans="1:31" s="46" customFormat="1" ht="21">
      <c r="A428" s="42"/>
      <c r="B428" s="42"/>
      <c r="C428" s="45"/>
      <c r="D428" s="31"/>
      <c r="E428" s="31"/>
      <c r="F428" s="47"/>
      <c r="G428" s="42"/>
      <c r="H428" s="42"/>
      <c r="I428" s="44"/>
      <c r="J428" s="44">
        <f t="shared" si="273"/>
        <v>0</v>
      </c>
      <c r="K428" s="42"/>
      <c r="L428" s="42">
        <f aca="true" t="shared" si="278" ref="L428:L436">+K428*J428</f>
        <v>0</v>
      </c>
      <c r="M428" s="42"/>
      <c r="N428" s="42"/>
      <c r="O428" s="101"/>
      <c r="P428" s="45"/>
      <c r="Q428" s="42"/>
      <c r="R428" s="42"/>
      <c r="S428" s="42"/>
      <c r="T428" s="12">
        <f t="shared" si="274"/>
        <v>0</v>
      </c>
      <c r="U428" s="45"/>
      <c r="V428" s="12">
        <f>+T428*0</f>
        <v>0</v>
      </c>
      <c r="W428" s="12">
        <f t="shared" si="275"/>
        <v>0</v>
      </c>
      <c r="X428" s="12"/>
      <c r="Y428" s="12">
        <f t="shared" si="272"/>
        <v>0</v>
      </c>
      <c r="Z428" s="12"/>
      <c r="AA428" s="12">
        <f t="shared" si="276"/>
        <v>0</v>
      </c>
      <c r="AB428" s="12"/>
      <c r="AC428" s="12">
        <f t="shared" si="277"/>
        <v>0</v>
      </c>
      <c r="AD428" s="42"/>
      <c r="AE428" s="12"/>
    </row>
    <row r="429" spans="1:31" s="46" customFormat="1" ht="21">
      <c r="A429" s="42" t="s">
        <v>0</v>
      </c>
      <c r="B429" s="42" t="s">
        <v>1</v>
      </c>
      <c r="C429" s="45" t="s">
        <v>1490</v>
      </c>
      <c r="D429" s="51" t="s">
        <v>452</v>
      </c>
      <c r="E429" s="10" t="s">
        <v>909</v>
      </c>
      <c r="F429" s="47" t="s">
        <v>140</v>
      </c>
      <c r="G429" s="42"/>
      <c r="H429" s="42"/>
      <c r="I429" s="44">
        <v>74.8</v>
      </c>
      <c r="J429" s="44">
        <f t="shared" si="273"/>
        <v>74.8</v>
      </c>
      <c r="K429" s="42">
        <v>6000</v>
      </c>
      <c r="L429" s="42">
        <f t="shared" si="278"/>
        <v>448800</v>
      </c>
      <c r="M429" s="42"/>
      <c r="N429" s="42"/>
      <c r="O429" s="101"/>
      <c r="P429" s="45"/>
      <c r="Q429" s="42"/>
      <c r="R429" s="100"/>
      <c r="S429" s="42"/>
      <c r="T429" s="12">
        <f t="shared" si="274"/>
        <v>0</v>
      </c>
      <c r="U429" s="45"/>
      <c r="V429" s="12">
        <f>+T429*0</f>
        <v>0</v>
      </c>
      <c r="W429" s="12">
        <f t="shared" si="275"/>
        <v>0</v>
      </c>
      <c r="X429" s="116"/>
      <c r="Y429" s="117">
        <f aca="true" t="shared" si="279" ref="Y429:Y434">+L429+W429</f>
        <v>448800</v>
      </c>
      <c r="Z429" s="12"/>
      <c r="AA429" s="12">
        <f t="shared" si="276"/>
        <v>448800</v>
      </c>
      <c r="AB429" s="12">
        <v>0.3</v>
      </c>
      <c r="AC429" s="12">
        <f t="shared" si="277"/>
        <v>1346.4</v>
      </c>
      <c r="AD429" s="42"/>
      <c r="AE429" s="12"/>
    </row>
    <row r="430" spans="1:31" s="46" customFormat="1" ht="21">
      <c r="A430" s="42"/>
      <c r="B430" s="42"/>
      <c r="C430" s="45"/>
      <c r="D430" s="31"/>
      <c r="E430" s="31"/>
      <c r="F430" s="47"/>
      <c r="G430" s="42"/>
      <c r="H430" s="42"/>
      <c r="I430" s="44"/>
      <c r="J430" s="44">
        <f t="shared" si="273"/>
        <v>0</v>
      </c>
      <c r="K430" s="42"/>
      <c r="L430" s="42">
        <f t="shared" si="278"/>
        <v>0</v>
      </c>
      <c r="M430" s="42"/>
      <c r="N430" s="42"/>
      <c r="O430" s="101"/>
      <c r="P430" s="45"/>
      <c r="Q430" s="42"/>
      <c r="R430" s="42"/>
      <c r="S430" s="42"/>
      <c r="T430" s="12">
        <f t="shared" si="274"/>
        <v>0</v>
      </c>
      <c r="U430" s="45"/>
      <c r="V430" s="12">
        <f>+T430*0</f>
        <v>0</v>
      </c>
      <c r="W430" s="12">
        <f t="shared" si="275"/>
        <v>0</v>
      </c>
      <c r="X430" s="12"/>
      <c r="Y430" s="12">
        <f t="shared" si="279"/>
        <v>0</v>
      </c>
      <c r="Z430" s="12"/>
      <c r="AA430" s="12">
        <f t="shared" si="276"/>
        <v>0</v>
      </c>
      <c r="AB430" s="12"/>
      <c r="AC430" s="12">
        <f t="shared" si="277"/>
        <v>0</v>
      </c>
      <c r="AD430" s="42"/>
      <c r="AE430" s="12"/>
    </row>
    <row r="431" spans="1:31" s="46" customFormat="1" ht="21">
      <c r="A431" s="42"/>
      <c r="B431" s="42"/>
      <c r="C431" s="45"/>
      <c r="D431" s="31"/>
      <c r="E431" s="31"/>
      <c r="F431" s="47"/>
      <c r="G431" s="42"/>
      <c r="H431" s="42"/>
      <c r="I431" s="44"/>
      <c r="J431" s="44">
        <f t="shared" si="273"/>
        <v>0</v>
      </c>
      <c r="K431" s="42"/>
      <c r="L431" s="42">
        <f t="shared" si="278"/>
        <v>0</v>
      </c>
      <c r="M431" s="42"/>
      <c r="N431" s="42"/>
      <c r="O431" s="101"/>
      <c r="P431" s="45"/>
      <c r="Q431" s="42"/>
      <c r="R431" s="42"/>
      <c r="S431" s="42"/>
      <c r="T431" s="12">
        <f t="shared" si="274"/>
        <v>0</v>
      </c>
      <c r="U431" s="45"/>
      <c r="V431" s="12">
        <f>+T431*0</f>
        <v>0</v>
      </c>
      <c r="W431" s="12">
        <f t="shared" si="275"/>
        <v>0</v>
      </c>
      <c r="X431" s="12"/>
      <c r="Y431" s="12">
        <f t="shared" si="279"/>
        <v>0</v>
      </c>
      <c r="Z431" s="12"/>
      <c r="AA431" s="12">
        <f t="shared" si="276"/>
        <v>0</v>
      </c>
      <c r="AB431" s="12"/>
      <c r="AC431" s="12">
        <f t="shared" si="277"/>
        <v>0</v>
      </c>
      <c r="AD431" s="42"/>
      <c r="AE431" s="12"/>
    </row>
    <row r="432" spans="1:31" s="46" customFormat="1" ht="21">
      <c r="A432" s="42" t="s">
        <v>0</v>
      </c>
      <c r="B432" s="42" t="s">
        <v>1</v>
      </c>
      <c r="C432" s="45" t="s">
        <v>1748</v>
      </c>
      <c r="D432" s="45" t="s">
        <v>1749</v>
      </c>
      <c r="E432" s="31" t="s">
        <v>907</v>
      </c>
      <c r="F432" s="47" t="s">
        <v>137</v>
      </c>
      <c r="G432" s="42"/>
      <c r="H432" s="42"/>
      <c r="I432" s="44">
        <v>9.9</v>
      </c>
      <c r="J432" s="44">
        <f t="shared" si="273"/>
        <v>9.9</v>
      </c>
      <c r="K432" s="42">
        <v>4000</v>
      </c>
      <c r="L432" s="42">
        <f t="shared" si="278"/>
        <v>39600</v>
      </c>
      <c r="M432" s="42"/>
      <c r="N432" s="42" t="s">
        <v>61</v>
      </c>
      <c r="O432" s="104" t="s">
        <v>446</v>
      </c>
      <c r="P432" s="45">
        <v>2</v>
      </c>
      <c r="Q432" s="104">
        <v>34.2</v>
      </c>
      <c r="R432" s="100"/>
      <c r="S432" s="42">
        <v>6650</v>
      </c>
      <c r="T432" s="12">
        <f t="shared" si="274"/>
        <v>227430.00000000003</v>
      </c>
      <c r="U432" s="45" t="s">
        <v>73</v>
      </c>
      <c r="V432" s="12">
        <f>+T432*0.05</f>
        <v>11371.500000000002</v>
      </c>
      <c r="W432" s="12">
        <f t="shared" si="275"/>
        <v>216058.50000000003</v>
      </c>
      <c r="X432" s="116"/>
      <c r="Y432" s="117">
        <f t="shared" si="279"/>
        <v>255658.50000000003</v>
      </c>
      <c r="Z432" s="12"/>
      <c r="AA432" s="12">
        <f t="shared" si="276"/>
        <v>255658.50000000003</v>
      </c>
      <c r="AB432" s="12">
        <v>0.02</v>
      </c>
      <c r="AC432" s="12">
        <f t="shared" si="277"/>
        <v>51.13170000000001</v>
      </c>
      <c r="AD432" s="42"/>
      <c r="AE432" s="12"/>
    </row>
    <row r="433" spans="1:31" s="46" customFormat="1" ht="21">
      <c r="A433" s="42"/>
      <c r="B433" s="42"/>
      <c r="C433" s="45"/>
      <c r="D433" s="31"/>
      <c r="E433" s="31"/>
      <c r="F433" s="47"/>
      <c r="G433" s="42"/>
      <c r="H433" s="42"/>
      <c r="I433" s="44"/>
      <c r="J433" s="44">
        <f t="shared" si="273"/>
        <v>0</v>
      </c>
      <c r="K433" s="42"/>
      <c r="L433" s="42">
        <f t="shared" si="278"/>
        <v>0</v>
      </c>
      <c r="M433" s="42"/>
      <c r="N433" s="42"/>
      <c r="O433" s="101"/>
      <c r="P433" s="45"/>
      <c r="Q433" s="42"/>
      <c r="R433" s="42"/>
      <c r="S433" s="42"/>
      <c r="T433" s="12">
        <f t="shared" si="274"/>
        <v>0</v>
      </c>
      <c r="U433" s="45"/>
      <c r="V433" s="12">
        <f>+T433*0</f>
        <v>0</v>
      </c>
      <c r="W433" s="12">
        <f t="shared" si="275"/>
        <v>0</v>
      </c>
      <c r="X433" s="12"/>
      <c r="Y433" s="12">
        <f t="shared" si="279"/>
        <v>0</v>
      </c>
      <c r="Z433" s="12"/>
      <c r="AA433" s="12">
        <f t="shared" si="276"/>
        <v>0</v>
      </c>
      <c r="AB433" s="12"/>
      <c r="AC433" s="12">
        <f t="shared" si="277"/>
        <v>0</v>
      </c>
      <c r="AD433" s="42"/>
      <c r="AE433" s="12"/>
    </row>
    <row r="434" spans="1:31" s="46" customFormat="1" ht="21">
      <c r="A434" s="42"/>
      <c r="B434" s="42"/>
      <c r="C434" s="45"/>
      <c r="D434" s="31"/>
      <c r="E434" s="31"/>
      <c r="F434" s="47"/>
      <c r="G434" s="42"/>
      <c r="H434" s="42"/>
      <c r="I434" s="44"/>
      <c r="J434" s="44">
        <f t="shared" si="273"/>
        <v>0</v>
      </c>
      <c r="K434" s="42"/>
      <c r="L434" s="42">
        <f t="shared" si="278"/>
        <v>0</v>
      </c>
      <c r="M434" s="42"/>
      <c r="N434" s="42"/>
      <c r="O434" s="101"/>
      <c r="P434" s="45"/>
      <c r="Q434" s="42"/>
      <c r="R434" s="42"/>
      <c r="S434" s="42"/>
      <c r="T434" s="12">
        <f t="shared" si="274"/>
        <v>0</v>
      </c>
      <c r="U434" s="45"/>
      <c r="V434" s="12">
        <f>+T434*0</f>
        <v>0</v>
      </c>
      <c r="W434" s="12">
        <f t="shared" si="275"/>
        <v>0</v>
      </c>
      <c r="X434" s="12"/>
      <c r="Y434" s="12">
        <f t="shared" si="279"/>
        <v>0</v>
      </c>
      <c r="Z434" s="12"/>
      <c r="AA434" s="12">
        <f t="shared" si="276"/>
        <v>0</v>
      </c>
      <c r="AB434" s="12"/>
      <c r="AC434" s="12">
        <f t="shared" si="277"/>
        <v>0</v>
      </c>
      <c r="AD434" s="42"/>
      <c r="AE434" s="12"/>
    </row>
    <row r="435" spans="1:31" s="46" customFormat="1" ht="21">
      <c r="A435" s="42" t="s">
        <v>0</v>
      </c>
      <c r="B435" s="42" t="s">
        <v>1</v>
      </c>
      <c r="C435" s="45" t="s">
        <v>1491</v>
      </c>
      <c r="D435" s="45" t="s">
        <v>453</v>
      </c>
      <c r="E435" s="29" t="s">
        <v>907</v>
      </c>
      <c r="F435" s="47" t="s">
        <v>137</v>
      </c>
      <c r="G435" s="42"/>
      <c r="H435" s="42"/>
      <c r="I435" s="44">
        <v>88.8</v>
      </c>
      <c r="J435" s="44">
        <f t="shared" si="273"/>
        <v>88.8</v>
      </c>
      <c r="K435" s="42">
        <v>10000</v>
      </c>
      <c r="L435" s="42">
        <f t="shared" si="278"/>
        <v>888000</v>
      </c>
      <c r="M435" s="42"/>
      <c r="N435" s="42"/>
      <c r="O435" s="101"/>
      <c r="P435" s="45"/>
      <c r="Q435" s="42"/>
      <c r="R435" s="100"/>
      <c r="S435" s="42"/>
      <c r="T435" s="12">
        <f t="shared" si="274"/>
        <v>0</v>
      </c>
      <c r="U435" s="45"/>
      <c r="V435" s="12">
        <f>+T435*0</f>
        <v>0</v>
      </c>
      <c r="W435" s="12">
        <f t="shared" si="275"/>
        <v>0</v>
      </c>
      <c r="X435" s="116"/>
      <c r="Y435" s="117">
        <f aca="true" t="shared" si="280" ref="Y435:Y453">+L435+W435</f>
        <v>888000</v>
      </c>
      <c r="Z435" s="12"/>
      <c r="AA435" s="12">
        <f t="shared" si="276"/>
        <v>888000</v>
      </c>
      <c r="AB435" s="12">
        <v>0.02</v>
      </c>
      <c r="AC435" s="12">
        <f t="shared" si="277"/>
        <v>177.6</v>
      </c>
      <c r="AD435" s="42"/>
      <c r="AE435" s="12"/>
    </row>
    <row r="436" spans="1:31" s="46" customFormat="1" ht="21">
      <c r="A436" s="42"/>
      <c r="B436" s="42"/>
      <c r="C436" s="45"/>
      <c r="D436" s="31"/>
      <c r="E436" s="31"/>
      <c r="F436" s="47"/>
      <c r="G436" s="42"/>
      <c r="H436" s="42"/>
      <c r="I436" s="44"/>
      <c r="J436" s="44">
        <f t="shared" si="273"/>
        <v>0</v>
      </c>
      <c r="K436" s="42"/>
      <c r="L436" s="42">
        <f t="shared" si="278"/>
        <v>0</v>
      </c>
      <c r="M436" s="42"/>
      <c r="N436" s="42"/>
      <c r="O436" s="101"/>
      <c r="P436" s="45"/>
      <c r="Q436" s="42"/>
      <c r="R436" s="42"/>
      <c r="S436" s="42"/>
      <c r="T436" s="12">
        <f t="shared" si="274"/>
        <v>0</v>
      </c>
      <c r="U436" s="45"/>
      <c r="V436" s="12">
        <f>+T436*0</f>
        <v>0</v>
      </c>
      <c r="W436" s="12">
        <f t="shared" si="275"/>
        <v>0</v>
      </c>
      <c r="X436" s="12"/>
      <c r="Y436" s="12">
        <f t="shared" si="280"/>
        <v>0</v>
      </c>
      <c r="Z436" s="12"/>
      <c r="AA436" s="12">
        <f t="shared" si="276"/>
        <v>0</v>
      </c>
      <c r="AB436" s="12"/>
      <c r="AC436" s="12">
        <f t="shared" si="277"/>
        <v>0</v>
      </c>
      <c r="AD436" s="42"/>
      <c r="AE436" s="12"/>
    </row>
    <row r="437" spans="1:31" s="46" customFormat="1" ht="21">
      <c r="A437" s="42"/>
      <c r="B437" s="42"/>
      <c r="C437" s="45"/>
      <c r="D437" s="31"/>
      <c r="E437" s="31"/>
      <c r="F437" s="47"/>
      <c r="G437" s="42"/>
      <c r="H437" s="42"/>
      <c r="I437" s="44"/>
      <c r="J437" s="44">
        <f t="shared" si="273"/>
        <v>0</v>
      </c>
      <c r="K437" s="42"/>
      <c r="L437" s="42">
        <f>+K437*J437</f>
        <v>0</v>
      </c>
      <c r="M437" s="42"/>
      <c r="N437" s="42"/>
      <c r="O437" s="101"/>
      <c r="P437" s="45"/>
      <c r="Q437" s="42"/>
      <c r="R437" s="42"/>
      <c r="S437" s="42"/>
      <c r="T437" s="12">
        <f t="shared" si="274"/>
        <v>0</v>
      </c>
      <c r="U437" s="45"/>
      <c r="V437" s="12">
        <f>+T437*0</f>
        <v>0</v>
      </c>
      <c r="W437" s="12">
        <f t="shared" si="275"/>
        <v>0</v>
      </c>
      <c r="X437" s="12"/>
      <c r="Y437" s="12">
        <f t="shared" si="280"/>
        <v>0</v>
      </c>
      <c r="Z437" s="12"/>
      <c r="AA437" s="12">
        <f t="shared" si="276"/>
        <v>0</v>
      </c>
      <c r="AB437" s="12"/>
      <c r="AC437" s="12">
        <f t="shared" si="277"/>
        <v>0</v>
      </c>
      <c r="AD437" s="42"/>
      <c r="AE437" s="12"/>
    </row>
    <row r="438" spans="1:31" s="46" customFormat="1" ht="21">
      <c r="A438" s="42" t="s">
        <v>0</v>
      </c>
      <c r="B438" s="42" t="s">
        <v>1</v>
      </c>
      <c r="C438" s="45" t="s">
        <v>1492</v>
      </c>
      <c r="D438" s="51" t="s">
        <v>364</v>
      </c>
      <c r="E438" s="10" t="s">
        <v>909</v>
      </c>
      <c r="F438" s="47" t="s">
        <v>140</v>
      </c>
      <c r="G438" s="42"/>
      <c r="H438" s="42">
        <v>1</v>
      </c>
      <c r="I438" s="44">
        <v>18.5</v>
      </c>
      <c r="J438" s="44">
        <f aca="true" t="shared" si="281" ref="J438:J443">+I438+(H438*100)+(G438*400)</f>
        <v>118.5</v>
      </c>
      <c r="K438" s="42">
        <v>1500</v>
      </c>
      <c r="L438" s="42">
        <f aca="true" t="shared" si="282" ref="L438:L443">+K438*J438</f>
        <v>177750</v>
      </c>
      <c r="M438" s="42"/>
      <c r="N438" s="42"/>
      <c r="O438" s="101"/>
      <c r="P438" s="45"/>
      <c r="Q438" s="42"/>
      <c r="R438" s="100"/>
      <c r="S438" s="42"/>
      <c r="T438" s="12">
        <f aca="true" t="shared" si="283" ref="T438:T443">+Q438*S438</f>
        <v>0</v>
      </c>
      <c r="U438" s="45"/>
      <c r="V438" s="12">
        <f aca="true" t="shared" si="284" ref="V438:V443">+T438*0</f>
        <v>0</v>
      </c>
      <c r="W438" s="12">
        <f aca="true" t="shared" si="285" ref="W438:W443">+T438-V438</f>
        <v>0</v>
      </c>
      <c r="X438" s="116"/>
      <c r="Y438" s="117">
        <f t="shared" si="280"/>
        <v>177750</v>
      </c>
      <c r="Z438" s="12"/>
      <c r="AA438" s="12">
        <f aca="true" t="shared" si="286" ref="AA438:AA443">+Y438-Z438</f>
        <v>177750</v>
      </c>
      <c r="AB438" s="12">
        <v>0.3</v>
      </c>
      <c r="AC438" s="12">
        <f aca="true" t="shared" si="287" ref="AC438:AC443">+AA438*AB438/100</f>
        <v>533.25</v>
      </c>
      <c r="AD438" s="42"/>
      <c r="AE438" s="12"/>
    </row>
    <row r="439" spans="1:31" s="46" customFormat="1" ht="21">
      <c r="A439" s="42"/>
      <c r="B439" s="42"/>
      <c r="C439" s="45"/>
      <c r="D439" s="31"/>
      <c r="E439" s="31"/>
      <c r="F439" s="47"/>
      <c r="G439" s="42"/>
      <c r="H439" s="42"/>
      <c r="I439" s="44"/>
      <c r="J439" s="44">
        <f t="shared" si="281"/>
        <v>0</v>
      </c>
      <c r="K439" s="42"/>
      <c r="L439" s="42">
        <f t="shared" si="282"/>
        <v>0</v>
      </c>
      <c r="M439" s="42"/>
      <c r="N439" s="42"/>
      <c r="O439" s="101"/>
      <c r="P439" s="45"/>
      <c r="Q439" s="42"/>
      <c r="R439" s="42"/>
      <c r="S439" s="42"/>
      <c r="T439" s="12">
        <f t="shared" si="283"/>
        <v>0</v>
      </c>
      <c r="U439" s="45"/>
      <c r="V439" s="12">
        <f t="shared" si="284"/>
        <v>0</v>
      </c>
      <c r="W439" s="12">
        <f t="shared" si="285"/>
        <v>0</v>
      </c>
      <c r="X439" s="12"/>
      <c r="Y439" s="12">
        <f t="shared" si="280"/>
        <v>0</v>
      </c>
      <c r="Z439" s="12"/>
      <c r="AA439" s="12">
        <f t="shared" si="286"/>
        <v>0</v>
      </c>
      <c r="AB439" s="12"/>
      <c r="AC439" s="12">
        <f t="shared" si="287"/>
        <v>0</v>
      </c>
      <c r="AD439" s="42"/>
      <c r="AE439" s="12"/>
    </row>
    <row r="440" spans="1:31" s="46" customFormat="1" ht="21">
      <c r="A440" s="42"/>
      <c r="B440" s="42"/>
      <c r="C440" s="45"/>
      <c r="D440" s="31"/>
      <c r="E440" s="31"/>
      <c r="F440" s="47"/>
      <c r="G440" s="42"/>
      <c r="H440" s="42"/>
      <c r="I440" s="44"/>
      <c r="J440" s="44">
        <f t="shared" si="281"/>
        <v>0</v>
      </c>
      <c r="K440" s="42"/>
      <c r="L440" s="42">
        <f t="shared" si="282"/>
        <v>0</v>
      </c>
      <c r="M440" s="42"/>
      <c r="N440" s="42"/>
      <c r="O440" s="101"/>
      <c r="P440" s="45"/>
      <c r="Q440" s="42"/>
      <c r="R440" s="42"/>
      <c r="S440" s="42"/>
      <c r="T440" s="12">
        <f t="shared" si="283"/>
        <v>0</v>
      </c>
      <c r="U440" s="45"/>
      <c r="V440" s="12">
        <f t="shared" si="284"/>
        <v>0</v>
      </c>
      <c r="W440" s="12">
        <f t="shared" si="285"/>
        <v>0</v>
      </c>
      <c r="X440" s="12"/>
      <c r="Y440" s="12">
        <f t="shared" si="280"/>
        <v>0</v>
      </c>
      <c r="Z440" s="12"/>
      <c r="AA440" s="12">
        <f t="shared" si="286"/>
        <v>0</v>
      </c>
      <c r="AB440" s="12"/>
      <c r="AC440" s="12">
        <f t="shared" si="287"/>
        <v>0</v>
      </c>
      <c r="AD440" s="42"/>
      <c r="AE440" s="12"/>
    </row>
    <row r="441" spans="1:31" s="46" customFormat="1" ht="21">
      <c r="A441" s="42" t="s">
        <v>0</v>
      </c>
      <c r="B441" s="42" t="s">
        <v>1</v>
      </c>
      <c r="C441" s="45" t="s">
        <v>1493</v>
      </c>
      <c r="D441" s="51" t="s">
        <v>365</v>
      </c>
      <c r="E441" s="29" t="s">
        <v>907</v>
      </c>
      <c r="F441" s="47" t="s">
        <v>140</v>
      </c>
      <c r="G441" s="42"/>
      <c r="H441" s="42">
        <v>2</v>
      </c>
      <c r="I441" s="44">
        <v>16.7</v>
      </c>
      <c r="J441" s="44">
        <f>+I441+(H441*100)+(G441*400)</f>
        <v>216.7</v>
      </c>
      <c r="K441" s="42">
        <v>15000</v>
      </c>
      <c r="L441" s="42">
        <f t="shared" si="282"/>
        <v>3250500</v>
      </c>
      <c r="M441" s="42"/>
      <c r="N441" s="42"/>
      <c r="O441" s="101"/>
      <c r="P441" s="45"/>
      <c r="Q441" s="42"/>
      <c r="R441" s="100"/>
      <c r="S441" s="42"/>
      <c r="T441" s="12">
        <f>+Q441*S441</f>
        <v>0</v>
      </c>
      <c r="U441" s="45"/>
      <c r="V441" s="12">
        <f>+T441*0</f>
        <v>0</v>
      </c>
      <c r="W441" s="12">
        <f>+T441-V441</f>
        <v>0</v>
      </c>
      <c r="X441" s="116"/>
      <c r="Y441" s="117">
        <f t="shared" si="280"/>
        <v>3250500</v>
      </c>
      <c r="Z441" s="12"/>
      <c r="AA441" s="12">
        <f>+Y441-Z441</f>
        <v>3250500</v>
      </c>
      <c r="AB441" s="12">
        <v>0.3</v>
      </c>
      <c r="AC441" s="12">
        <f>+AA441*AB441/100</f>
        <v>9751.5</v>
      </c>
      <c r="AD441" s="42"/>
      <c r="AE441" s="12"/>
    </row>
    <row r="442" spans="1:31" s="46" customFormat="1" ht="21">
      <c r="A442" s="42"/>
      <c r="B442" s="42"/>
      <c r="C442" s="45"/>
      <c r="D442" s="31"/>
      <c r="E442" s="31"/>
      <c r="F442" s="47"/>
      <c r="G442" s="42"/>
      <c r="H442" s="42"/>
      <c r="I442" s="44"/>
      <c r="J442" s="44">
        <f>+I442+(H442*100)+(G442*400)</f>
        <v>0</v>
      </c>
      <c r="K442" s="42"/>
      <c r="L442" s="42">
        <f t="shared" si="282"/>
        <v>0</v>
      </c>
      <c r="M442" s="42"/>
      <c r="N442" s="42"/>
      <c r="O442" s="101"/>
      <c r="P442" s="45"/>
      <c r="Q442" s="42"/>
      <c r="R442" s="42"/>
      <c r="S442" s="42"/>
      <c r="T442" s="12">
        <f>+Q442*S442</f>
        <v>0</v>
      </c>
      <c r="U442" s="45"/>
      <c r="V442" s="12">
        <f>+T442*0</f>
        <v>0</v>
      </c>
      <c r="W442" s="12">
        <f>+T442-V442</f>
        <v>0</v>
      </c>
      <c r="X442" s="12"/>
      <c r="Y442" s="12">
        <f t="shared" si="280"/>
        <v>0</v>
      </c>
      <c r="Z442" s="12"/>
      <c r="AA442" s="12">
        <f>+Y442-Z442</f>
        <v>0</v>
      </c>
      <c r="AB442" s="12"/>
      <c r="AC442" s="12">
        <f>+AA442*AB442/100</f>
        <v>0</v>
      </c>
      <c r="AD442" s="42"/>
      <c r="AE442" s="12"/>
    </row>
    <row r="443" spans="1:31" s="46" customFormat="1" ht="21">
      <c r="A443" s="42"/>
      <c r="B443" s="42"/>
      <c r="C443" s="45"/>
      <c r="D443" s="31"/>
      <c r="E443" s="31"/>
      <c r="F443" s="47"/>
      <c r="G443" s="42"/>
      <c r="H443" s="42"/>
      <c r="I443" s="44"/>
      <c r="J443" s="44">
        <f t="shared" si="281"/>
        <v>0</v>
      </c>
      <c r="K443" s="42"/>
      <c r="L443" s="42">
        <f t="shared" si="282"/>
        <v>0</v>
      </c>
      <c r="M443" s="42"/>
      <c r="N443" s="42"/>
      <c r="O443" s="101"/>
      <c r="P443" s="45"/>
      <c r="Q443" s="42"/>
      <c r="R443" s="42"/>
      <c r="S443" s="42"/>
      <c r="T443" s="12">
        <f t="shared" si="283"/>
        <v>0</v>
      </c>
      <c r="U443" s="45"/>
      <c r="V443" s="12">
        <f t="shared" si="284"/>
        <v>0</v>
      </c>
      <c r="W443" s="12">
        <f t="shared" si="285"/>
        <v>0</v>
      </c>
      <c r="X443" s="12"/>
      <c r="Y443" s="12">
        <f t="shared" si="280"/>
        <v>0</v>
      </c>
      <c r="Z443" s="12"/>
      <c r="AA443" s="12">
        <f t="shared" si="286"/>
        <v>0</v>
      </c>
      <c r="AB443" s="12"/>
      <c r="AC443" s="12">
        <f t="shared" si="287"/>
        <v>0</v>
      </c>
      <c r="AD443" s="42"/>
      <c r="AE443" s="12"/>
    </row>
    <row r="444" spans="1:31" s="46" customFormat="1" ht="21">
      <c r="A444" s="42" t="s">
        <v>0</v>
      </c>
      <c r="B444" s="42" t="s">
        <v>1</v>
      </c>
      <c r="C444" s="45" t="s">
        <v>1494</v>
      </c>
      <c r="D444" s="45" t="s">
        <v>366</v>
      </c>
      <c r="E444" s="29" t="s">
        <v>907</v>
      </c>
      <c r="F444" s="47" t="s">
        <v>143</v>
      </c>
      <c r="G444" s="42"/>
      <c r="H444" s="42"/>
      <c r="I444" s="44">
        <v>14.4</v>
      </c>
      <c r="J444" s="44">
        <f aca="true" t="shared" si="288" ref="J444:J453">+I444+(H444*100)+(G444*400)</f>
        <v>14.4</v>
      </c>
      <c r="K444" s="42">
        <v>15000</v>
      </c>
      <c r="L444" s="42">
        <f aca="true" t="shared" si="289" ref="L444:L452">+K444*J444</f>
        <v>216000</v>
      </c>
      <c r="M444" s="42"/>
      <c r="N444" s="42" t="s">
        <v>60</v>
      </c>
      <c r="O444" s="101" t="s">
        <v>446</v>
      </c>
      <c r="P444" s="45">
        <v>3</v>
      </c>
      <c r="Q444" s="100">
        <v>120</v>
      </c>
      <c r="R444" s="100"/>
      <c r="S444" s="42">
        <v>7550</v>
      </c>
      <c r="T444" s="12">
        <f aca="true" t="shared" si="290" ref="T444:T453">+Q444*S444</f>
        <v>906000</v>
      </c>
      <c r="U444" s="102" t="s">
        <v>102</v>
      </c>
      <c r="V444" s="12">
        <f>+T444*0.64</f>
        <v>579840</v>
      </c>
      <c r="W444" s="12">
        <f aca="true" t="shared" si="291" ref="W444:W453">+T444-V444</f>
        <v>326160</v>
      </c>
      <c r="X444" s="116"/>
      <c r="Y444" s="117">
        <f t="shared" si="280"/>
        <v>542160</v>
      </c>
      <c r="Z444" s="12"/>
      <c r="AA444" s="12">
        <f aca="true" t="shared" si="292" ref="AA444:AA453">+Y444-Z444</f>
        <v>542160</v>
      </c>
      <c r="AB444" s="12">
        <v>0.3</v>
      </c>
      <c r="AC444" s="12">
        <f aca="true" t="shared" si="293" ref="AC444:AC453">+AA444*AB444/100</f>
        <v>1626.48</v>
      </c>
      <c r="AD444" s="42"/>
      <c r="AE444" s="12"/>
    </row>
    <row r="445" spans="1:31" s="46" customFormat="1" ht="21">
      <c r="A445" s="42" t="s">
        <v>0</v>
      </c>
      <c r="B445" s="42" t="s">
        <v>1</v>
      </c>
      <c r="C445" s="45" t="s">
        <v>1495</v>
      </c>
      <c r="D445" s="45" t="s">
        <v>367</v>
      </c>
      <c r="E445" s="29" t="s">
        <v>907</v>
      </c>
      <c r="F445" s="47" t="s">
        <v>137</v>
      </c>
      <c r="G445" s="42"/>
      <c r="H445" s="42"/>
      <c r="I445" s="44">
        <v>24.8</v>
      </c>
      <c r="J445" s="44">
        <f t="shared" si="288"/>
        <v>24.8</v>
      </c>
      <c r="K445" s="42">
        <v>15000</v>
      </c>
      <c r="L445" s="42">
        <f t="shared" si="289"/>
        <v>372000</v>
      </c>
      <c r="M445" s="42"/>
      <c r="N445" s="42" t="s">
        <v>62</v>
      </c>
      <c r="O445" s="101" t="s">
        <v>446</v>
      </c>
      <c r="P445" s="45">
        <v>2</v>
      </c>
      <c r="Q445" s="100">
        <v>100</v>
      </c>
      <c r="R445" s="100"/>
      <c r="S445" s="42">
        <v>6750</v>
      </c>
      <c r="T445" s="12">
        <f t="shared" si="290"/>
        <v>675000</v>
      </c>
      <c r="U445" s="102" t="s">
        <v>102</v>
      </c>
      <c r="V445" s="12">
        <f>+T445*0.64</f>
        <v>432000</v>
      </c>
      <c r="W445" s="12">
        <f t="shared" si="291"/>
        <v>243000</v>
      </c>
      <c r="X445" s="116"/>
      <c r="Y445" s="117">
        <f t="shared" si="280"/>
        <v>615000</v>
      </c>
      <c r="Z445" s="12"/>
      <c r="AA445" s="12">
        <f t="shared" si="292"/>
        <v>615000</v>
      </c>
      <c r="AB445" s="12">
        <v>0.02</v>
      </c>
      <c r="AC445" s="12">
        <f t="shared" si="293"/>
        <v>123</v>
      </c>
      <c r="AD445" s="42"/>
      <c r="AE445" s="12"/>
    </row>
    <row r="446" spans="1:31" s="46" customFormat="1" ht="21">
      <c r="A446" s="42" t="s">
        <v>0</v>
      </c>
      <c r="B446" s="42" t="s">
        <v>1</v>
      </c>
      <c r="C446" s="45" t="s">
        <v>1496</v>
      </c>
      <c r="D446" s="45" t="s">
        <v>368</v>
      </c>
      <c r="E446" s="29" t="s">
        <v>907</v>
      </c>
      <c r="F446" s="47" t="s">
        <v>137</v>
      </c>
      <c r="G446" s="42"/>
      <c r="H446" s="42"/>
      <c r="I446" s="44">
        <v>24.8</v>
      </c>
      <c r="J446" s="44">
        <f t="shared" si="288"/>
        <v>24.8</v>
      </c>
      <c r="K446" s="42">
        <v>15000</v>
      </c>
      <c r="L446" s="42">
        <f t="shared" si="289"/>
        <v>372000</v>
      </c>
      <c r="M446" s="42"/>
      <c r="N446" s="42" t="s">
        <v>60</v>
      </c>
      <c r="O446" s="101" t="s">
        <v>446</v>
      </c>
      <c r="P446" s="45">
        <v>2</v>
      </c>
      <c r="Q446" s="100">
        <v>140</v>
      </c>
      <c r="R446" s="100"/>
      <c r="S446" s="42">
        <v>7550</v>
      </c>
      <c r="T446" s="12">
        <f t="shared" si="290"/>
        <v>1057000</v>
      </c>
      <c r="U446" s="102" t="s">
        <v>102</v>
      </c>
      <c r="V446" s="12">
        <f>+T446*0.64</f>
        <v>676480</v>
      </c>
      <c r="W446" s="12">
        <f t="shared" si="291"/>
        <v>380520</v>
      </c>
      <c r="X446" s="116"/>
      <c r="Y446" s="117">
        <f t="shared" si="280"/>
        <v>752520</v>
      </c>
      <c r="Z446" s="12">
        <f>+Y446</f>
        <v>752520</v>
      </c>
      <c r="AA446" s="12">
        <f t="shared" si="292"/>
        <v>0</v>
      </c>
      <c r="AB446" s="12"/>
      <c r="AC446" s="12">
        <f t="shared" si="293"/>
        <v>0</v>
      </c>
      <c r="AD446" s="42" t="s">
        <v>906</v>
      </c>
      <c r="AE446" s="12"/>
    </row>
    <row r="447" spans="1:31" s="46" customFormat="1" ht="21">
      <c r="A447" s="42"/>
      <c r="B447" s="42"/>
      <c r="C447" s="45"/>
      <c r="D447" s="31"/>
      <c r="E447" s="31"/>
      <c r="F447" s="47"/>
      <c r="G447" s="42"/>
      <c r="H447" s="42"/>
      <c r="I447" s="44"/>
      <c r="J447" s="44">
        <f t="shared" si="288"/>
        <v>0</v>
      </c>
      <c r="K447" s="42"/>
      <c r="L447" s="42">
        <f t="shared" si="289"/>
        <v>0</v>
      </c>
      <c r="M447" s="42"/>
      <c r="N447" s="42"/>
      <c r="O447" s="101"/>
      <c r="P447" s="45"/>
      <c r="Q447" s="42"/>
      <c r="R447" s="42"/>
      <c r="S447" s="42"/>
      <c r="T447" s="12">
        <f t="shared" si="290"/>
        <v>0</v>
      </c>
      <c r="U447" s="45"/>
      <c r="V447" s="12">
        <f>+T447*0</f>
        <v>0</v>
      </c>
      <c r="W447" s="12">
        <f t="shared" si="291"/>
        <v>0</v>
      </c>
      <c r="X447" s="12"/>
      <c r="Y447" s="12">
        <f t="shared" si="280"/>
        <v>0</v>
      </c>
      <c r="Z447" s="12"/>
      <c r="AA447" s="12">
        <f t="shared" si="292"/>
        <v>0</v>
      </c>
      <c r="AB447" s="12"/>
      <c r="AC447" s="12">
        <f t="shared" si="293"/>
        <v>0</v>
      </c>
      <c r="AD447" s="42"/>
      <c r="AE447" s="12"/>
    </row>
    <row r="448" spans="1:31" s="46" customFormat="1" ht="21">
      <c r="A448" s="42" t="s">
        <v>0</v>
      </c>
      <c r="B448" s="42" t="s">
        <v>1</v>
      </c>
      <c r="C448" s="45" t="s">
        <v>1497</v>
      </c>
      <c r="D448" s="45" t="s">
        <v>369</v>
      </c>
      <c r="E448" s="29" t="s">
        <v>907</v>
      </c>
      <c r="F448" s="47" t="s">
        <v>137</v>
      </c>
      <c r="G448" s="42"/>
      <c r="H448" s="42"/>
      <c r="I448" s="44">
        <v>23</v>
      </c>
      <c r="J448" s="44">
        <f t="shared" si="288"/>
        <v>23</v>
      </c>
      <c r="K448" s="42">
        <v>12000</v>
      </c>
      <c r="L448" s="42">
        <f t="shared" si="289"/>
        <v>276000</v>
      </c>
      <c r="M448" s="42"/>
      <c r="N448" s="42" t="s">
        <v>62</v>
      </c>
      <c r="O448" s="101" t="s">
        <v>446</v>
      </c>
      <c r="P448" s="45">
        <v>2</v>
      </c>
      <c r="Q448" s="100">
        <v>56.25</v>
      </c>
      <c r="R448" s="100"/>
      <c r="S448" s="42">
        <v>6750</v>
      </c>
      <c r="T448" s="12">
        <f t="shared" si="290"/>
        <v>379687.5</v>
      </c>
      <c r="U448" s="102" t="s">
        <v>87</v>
      </c>
      <c r="V448" s="12">
        <f>+T448*0.28</f>
        <v>106312.50000000001</v>
      </c>
      <c r="W448" s="12">
        <f t="shared" si="291"/>
        <v>273375</v>
      </c>
      <c r="X448" s="116"/>
      <c r="Y448" s="117">
        <f t="shared" si="280"/>
        <v>549375</v>
      </c>
      <c r="Z448" s="12"/>
      <c r="AA448" s="12">
        <f t="shared" si="292"/>
        <v>549375</v>
      </c>
      <c r="AB448" s="12">
        <v>0.02</v>
      </c>
      <c r="AC448" s="12">
        <f t="shared" si="293"/>
        <v>109.875</v>
      </c>
      <c r="AD448" s="42"/>
      <c r="AE448" s="12"/>
    </row>
    <row r="449" spans="1:31" s="46" customFormat="1" ht="21">
      <c r="A449" s="42"/>
      <c r="B449" s="42"/>
      <c r="C449" s="45"/>
      <c r="D449" s="31"/>
      <c r="E449" s="31"/>
      <c r="F449" s="47"/>
      <c r="G449" s="42"/>
      <c r="H449" s="42"/>
      <c r="I449" s="44"/>
      <c r="J449" s="44">
        <f t="shared" si="288"/>
        <v>0</v>
      </c>
      <c r="K449" s="42"/>
      <c r="L449" s="42">
        <f t="shared" si="289"/>
        <v>0</v>
      </c>
      <c r="M449" s="42"/>
      <c r="N449" s="42"/>
      <c r="O449" s="101"/>
      <c r="P449" s="45"/>
      <c r="Q449" s="42"/>
      <c r="R449" s="42"/>
      <c r="S449" s="42"/>
      <c r="T449" s="12">
        <f t="shared" si="290"/>
        <v>0</v>
      </c>
      <c r="U449" s="45"/>
      <c r="V449" s="12">
        <f>+T449*0</f>
        <v>0</v>
      </c>
      <c r="W449" s="12">
        <f t="shared" si="291"/>
        <v>0</v>
      </c>
      <c r="X449" s="12"/>
      <c r="Y449" s="12">
        <f t="shared" si="280"/>
        <v>0</v>
      </c>
      <c r="Z449" s="12"/>
      <c r="AA449" s="12">
        <f t="shared" si="292"/>
        <v>0</v>
      </c>
      <c r="AB449" s="12"/>
      <c r="AC449" s="12">
        <f t="shared" si="293"/>
        <v>0</v>
      </c>
      <c r="AD449" s="42"/>
      <c r="AE449" s="12"/>
    </row>
    <row r="450" spans="1:31" s="46" customFormat="1" ht="21">
      <c r="A450" s="42"/>
      <c r="B450" s="42"/>
      <c r="C450" s="45"/>
      <c r="D450" s="31"/>
      <c r="E450" s="31"/>
      <c r="F450" s="47"/>
      <c r="G450" s="42"/>
      <c r="H450" s="42"/>
      <c r="I450" s="44"/>
      <c r="J450" s="44">
        <f t="shared" si="288"/>
        <v>0</v>
      </c>
      <c r="K450" s="42"/>
      <c r="L450" s="42">
        <f t="shared" si="289"/>
        <v>0</v>
      </c>
      <c r="M450" s="42"/>
      <c r="N450" s="42"/>
      <c r="O450" s="101"/>
      <c r="P450" s="45"/>
      <c r="Q450" s="42"/>
      <c r="R450" s="42"/>
      <c r="S450" s="42"/>
      <c r="T450" s="12">
        <f t="shared" si="290"/>
        <v>0</v>
      </c>
      <c r="U450" s="45"/>
      <c r="V450" s="12">
        <f>+T450*0</f>
        <v>0</v>
      </c>
      <c r="W450" s="12">
        <f t="shared" si="291"/>
        <v>0</v>
      </c>
      <c r="X450" s="12"/>
      <c r="Y450" s="12">
        <f t="shared" si="280"/>
        <v>0</v>
      </c>
      <c r="Z450" s="12"/>
      <c r="AA450" s="12">
        <f t="shared" si="292"/>
        <v>0</v>
      </c>
      <c r="AB450" s="12"/>
      <c r="AC450" s="12">
        <f t="shared" si="293"/>
        <v>0</v>
      </c>
      <c r="AD450" s="42"/>
      <c r="AE450" s="12"/>
    </row>
    <row r="451" spans="1:31" s="46" customFormat="1" ht="21">
      <c r="A451" s="42" t="s">
        <v>0</v>
      </c>
      <c r="B451" s="42" t="s">
        <v>1</v>
      </c>
      <c r="C451" s="45" t="s">
        <v>1498</v>
      </c>
      <c r="D451" s="45" t="s">
        <v>370</v>
      </c>
      <c r="E451" s="29" t="s">
        <v>907</v>
      </c>
      <c r="F451" s="47" t="s">
        <v>137</v>
      </c>
      <c r="G451" s="42"/>
      <c r="H451" s="42"/>
      <c r="I451" s="44">
        <v>62</v>
      </c>
      <c r="J451" s="44">
        <f t="shared" si="288"/>
        <v>62</v>
      </c>
      <c r="K451" s="42">
        <v>12000</v>
      </c>
      <c r="L451" s="42">
        <f t="shared" si="289"/>
        <v>744000</v>
      </c>
      <c r="M451" s="42"/>
      <c r="N451" s="42" t="s">
        <v>64</v>
      </c>
      <c r="O451" s="104" t="s">
        <v>446</v>
      </c>
      <c r="P451" s="45">
        <v>2</v>
      </c>
      <c r="Q451" s="104">
        <v>48</v>
      </c>
      <c r="R451" s="100"/>
      <c r="S451" s="42">
        <v>6550</v>
      </c>
      <c r="T451" s="12">
        <f t="shared" si="290"/>
        <v>314400</v>
      </c>
      <c r="U451" s="102" t="s">
        <v>84</v>
      </c>
      <c r="V451" s="12">
        <f>+T451*0.2</f>
        <v>62880</v>
      </c>
      <c r="W451" s="12">
        <f t="shared" si="291"/>
        <v>251520</v>
      </c>
      <c r="X451" s="116"/>
      <c r="Y451" s="117">
        <f t="shared" si="280"/>
        <v>995520</v>
      </c>
      <c r="Z451" s="12">
        <f>+Y451</f>
        <v>995520</v>
      </c>
      <c r="AA451" s="12">
        <f t="shared" si="292"/>
        <v>0</v>
      </c>
      <c r="AB451" s="12"/>
      <c r="AC451" s="12">
        <f t="shared" si="293"/>
        <v>0</v>
      </c>
      <c r="AD451" s="42" t="s">
        <v>906</v>
      </c>
      <c r="AE451" s="12"/>
    </row>
    <row r="452" spans="1:31" s="46" customFormat="1" ht="21">
      <c r="A452" s="42"/>
      <c r="B452" s="42"/>
      <c r="C452" s="45"/>
      <c r="D452" s="31"/>
      <c r="E452" s="31"/>
      <c r="F452" s="47"/>
      <c r="G452" s="42"/>
      <c r="H452" s="42"/>
      <c r="I452" s="44"/>
      <c r="J452" s="44">
        <f t="shared" si="288"/>
        <v>0</v>
      </c>
      <c r="K452" s="42"/>
      <c r="L452" s="42">
        <f t="shared" si="289"/>
        <v>0</v>
      </c>
      <c r="M452" s="42"/>
      <c r="N452" s="42"/>
      <c r="O452" s="101"/>
      <c r="P452" s="45"/>
      <c r="Q452" s="42"/>
      <c r="R452" s="42"/>
      <c r="S452" s="42"/>
      <c r="T452" s="12">
        <f t="shared" si="290"/>
        <v>0</v>
      </c>
      <c r="U452" s="45"/>
      <c r="V452" s="12">
        <f>+T452*0</f>
        <v>0</v>
      </c>
      <c r="W452" s="12">
        <f t="shared" si="291"/>
        <v>0</v>
      </c>
      <c r="X452" s="12"/>
      <c r="Y452" s="12">
        <f t="shared" si="280"/>
        <v>0</v>
      </c>
      <c r="Z452" s="12"/>
      <c r="AA452" s="12">
        <f t="shared" si="292"/>
        <v>0</v>
      </c>
      <c r="AB452" s="12"/>
      <c r="AC452" s="12">
        <f t="shared" si="293"/>
        <v>0</v>
      </c>
      <c r="AD452" s="42"/>
      <c r="AE452" s="12"/>
    </row>
    <row r="453" spans="1:31" s="46" customFormat="1" ht="21">
      <c r="A453" s="42"/>
      <c r="B453" s="42"/>
      <c r="C453" s="45"/>
      <c r="D453" s="31"/>
      <c r="E453" s="31"/>
      <c r="F453" s="47"/>
      <c r="G453" s="42"/>
      <c r="H453" s="42"/>
      <c r="I453" s="44"/>
      <c r="J453" s="44">
        <f t="shared" si="288"/>
        <v>0</v>
      </c>
      <c r="K453" s="42"/>
      <c r="L453" s="42">
        <f aca="true" t="shared" si="294" ref="L453:L458">+K453*J453</f>
        <v>0</v>
      </c>
      <c r="M453" s="42"/>
      <c r="N453" s="42"/>
      <c r="O453" s="101"/>
      <c r="P453" s="45"/>
      <c r="Q453" s="42"/>
      <c r="R453" s="42"/>
      <c r="S453" s="42"/>
      <c r="T453" s="12">
        <f t="shared" si="290"/>
        <v>0</v>
      </c>
      <c r="U453" s="45"/>
      <c r="V453" s="12">
        <f>+T453*0</f>
        <v>0</v>
      </c>
      <c r="W453" s="12">
        <f t="shared" si="291"/>
        <v>0</v>
      </c>
      <c r="X453" s="12"/>
      <c r="Y453" s="12">
        <f t="shared" si="280"/>
        <v>0</v>
      </c>
      <c r="Z453" s="12"/>
      <c r="AA453" s="12">
        <f t="shared" si="292"/>
        <v>0</v>
      </c>
      <c r="AB453" s="12"/>
      <c r="AC453" s="12">
        <f t="shared" si="293"/>
        <v>0</v>
      </c>
      <c r="AD453" s="42"/>
      <c r="AE453" s="12"/>
    </row>
    <row r="454" spans="1:31" s="46" customFormat="1" ht="21">
      <c r="A454" s="42" t="s">
        <v>0</v>
      </c>
      <c r="B454" s="42" t="s">
        <v>1</v>
      </c>
      <c r="C454" s="45" t="s">
        <v>1499</v>
      </c>
      <c r="D454" s="45" t="s">
        <v>371</v>
      </c>
      <c r="E454" s="10" t="s">
        <v>909</v>
      </c>
      <c r="F454" s="47" t="s">
        <v>140</v>
      </c>
      <c r="G454" s="42"/>
      <c r="H454" s="42"/>
      <c r="I454" s="44">
        <v>59</v>
      </c>
      <c r="J454" s="44">
        <f aca="true" t="shared" si="295" ref="J454:J461">+I454+(H454*100)+(G454*400)</f>
        <v>59</v>
      </c>
      <c r="K454" s="42">
        <v>12000</v>
      </c>
      <c r="L454" s="42">
        <f t="shared" si="294"/>
        <v>708000</v>
      </c>
      <c r="M454" s="42"/>
      <c r="N454" s="42"/>
      <c r="O454" s="101"/>
      <c r="P454" s="45"/>
      <c r="Q454" s="42"/>
      <c r="R454" s="100"/>
      <c r="S454" s="42"/>
      <c r="T454" s="12">
        <f aca="true" t="shared" si="296" ref="T454:T461">+Q454*S454</f>
        <v>0</v>
      </c>
      <c r="U454" s="45"/>
      <c r="V454" s="12">
        <f aca="true" t="shared" si="297" ref="V454:V460">+T454*0</f>
        <v>0</v>
      </c>
      <c r="W454" s="12">
        <f aca="true" t="shared" si="298" ref="W454:W461">+T454-V454</f>
        <v>0</v>
      </c>
      <c r="X454" s="116"/>
      <c r="Y454" s="117">
        <f aca="true" t="shared" si="299" ref="Y454:Y461">+L454+W454</f>
        <v>708000</v>
      </c>
      <c r="Z454" s="12"/>
      <c r="AA454" s="12">
        <f aca="true" t="shared" si="300" ref="AA454:AA461">+Y454-Z454</f>
        <v>708000</v>
      </c>
      <c r="AB454" s="12">
        <v>0.3</v>
      </c>
      <c r="AC454" s="12">
        <f aca="true" t="shared" si="301" ref="AC454:AC461">+AA454*AB454/100</f>
        <v>2124</v>
      </c>
      <c r="AD454" s="42"/>
      <c r="AE454" s="12"/>
    </row>
    <row r="455" spans="1:31" s="46" customFormat="1" ht="21">
      <c r="A455" s="42" t="s">
        <v>0</v>
      </c>
      <c r="B455" s="42" t="s">
        <v>1</v>
      </c>
      <c r="C455" s="45" t="s">
        <v>1500</v>
      </c>
      <c r="D455" s="45" t="s">
        <v>372</v>
      </c>
      <c r="E455" s="10" t="s">
        <v>909</v>
      </c>
      <c r="F455" s="47" t="s">
        <v>140</v>
      </c>
      <c r="G455" s="42"/>
      <c r="H455" s="42"/>
      <c r="I455" s="44">
        <v>60.1</v>
      </c>
      <c r="J455" s="44">
        <f t="shared" si="295"/>
        <v>60.1</v>
      </c>
      <c r="K455" s="42">
        <v>12000</v>
      </c>
      <c r="L455" s="42">
        <f t="shared" si="294"/>
        <v>721200</v>
      </c>
      <c r="M455" s="42"/>
      <c r="N455" s="42"/>
      <c r="O455" s="101"/>
      <c r="P455" s="45"/>
      <c r="Q455" s="42"/>
      <c r="R455" s="100"/>
      <c r="S455" s="42"/>
      <c r="T455" s="12">
        <f t="shared" si="296"/>
        <v>0</v>
      </c>
      <c r="U455" s="45"/>
      <c r="V455" s="12">
        <f t="shared" si="297"/>
        <v>0</v>
      </c>
      <c r="W455" s="12">
        <f t="shared" si="298"/>
        <v>0</v>
      </c>
      <c r="X455" s="116"/>
      <c r="Y455" s="117">
        <f t="shared" si="299"/>
        <v>721200</v>
      </c>
      <c r="Z455" s="12"/>
      <c r="AA455" s="12">
        <f t="shared" si="300"/>
        <v>721200</v>
      </c>
      <c r="AB455" s="12">
        <v>0.3</v>
      </c>
      <c r="AC455" s="12">
        <f t="shared" si="301"/>
        <v>2163.6</v>
      </c>
      <c r="AD455" s="42"/>
      <c r="AE455" s="12"/>
    </row>
    <row r="456" spans="1:31" s="46" customFormat="1" ht="21">
      <c r="A456" s="42" t="s">
        <v>0</v>
      </c>
      <c r="B456" s="42" t="s">
        <v>1</v>
      </c>
      <c r="C456" s="45" t="s">
        <v>1501</v>
      </c>
      <c r="D456" s="45" t="s">
        <v>373</v>
      </c>
      <c r="E456" s="10" t="s">
        <v>909</v>
      </c>
      <c r="F456" s="47" t="s">
        <v>140</v>
      </c>
      <c r="G456" s="42"/>
      <c r="H456" s="42"/>
      <c r="I456" s="44">
        <v>61.2</v>
      </c>
      <c r="J456" s="44">
        <f t="shared" si="295"/>
        <v>61.2</v>
      </c>
      <c r="K456" s="42">
        <v>12000</v>
      </c>
      <c r="L456" s="42">
        <f t="shared" si="294"/>
        <v>734400</v>
      </c>
      <c r="M456" s="42"/>
      <c r="N456" s="42"/>
      <c r="O456" s="101"/>
      <c r="P456" s="45"/>
      <c r="Q456" s="42"/>
      <c r="R456" s="100"/>
      <c r="S456" s="42"/>
      <c r="T456" s="12">
        <f t="shared" si="296"/>
        <v>0</v>
      </c>
      <c r="U456" s="45"/>
      <c r="V456" s="12">
        <f t="shared" si="297"/>
        <v>0</v>
      </c>
      <c r="W456" s="12">
        <f t="shared" si="298"/>
        <v>0</v>
      </c>
      <c r="X456" s="116"/>
      <c r="Y456" s="117">
        <f t="shared" si="299"/>
        <v>734400</v>
      </c>
      <c r="Z456" s="12"/>
      <c r="AA456" s="12">
        <f t="shared" si="300"/>
        <v>734400</v>
      </c>
      <c r="AB456" s="12">
        <v>0.3</v>
      </c>
      <c r="AC456" s="12">
        <f t="shared" si="301"/>
        <v>2203.2</v>
      </c>
      <c r="AD456" s="42"/>
      <c r="AE456" s="12"/>
    </row>
    <row r="457" spans="1:31" s="46" customFormat="1" ht="21">
      <c r="A457" s="42" t="s">
        <v>0</v>
      </c>
      <c r="B457" s="42" t="s">
        <v>1</v>
      </c>
      <c r="C457" s="45" t="s">
        <v>1502</v>
      </c>
      <c r="D457" s="45" t="s">
        <v>374</v>
      </c>
      <c r="E457" s="29" t="s">
        <v>907</v>
      </c>
      <c r="F457" s="47"/>
      <c r="G457" s="42"/>
      <c r="H457" s="42">
        <v>2</v>
      </c>
      <c r="I457" s="44">
        <v>0.4</v>
      </c>
      <c r="J457" s="44">
        <f t="shared" si="295"/>
        <v>200.4</v>
      </c>
      <c r="K457" s="42">
        <v>7500</v>
      </c>
      <c r="L457" s="42">
        <f t="shared" si="294"/>
        <v>1503000</v>
      </c>
      <c r="M457" s="42"/>
      <c r="N457" s="42" t="s">
        <v>475</v>
      </c>
      <c r="O457" s="101"/>
      <c r="P457" s="45"/>
      <c r="Q457" s="42"/>
      <c r="R457" s="100"/>
      <c r="S457" s="42"/>
      <c r="T457" s="12">
        <f t="shared" si="296"/>
        <v>0</v>
      </c>
      <c r="U457" s="45"/>
      <c r="V457" s="12">
        <f t="shared" si="297"/>
        <v>0</v>
      </c>
      <c r="W457" s="12">
        <f t="shared" si="298"/>
        <v>0</v>
      </c>
      <c r="X457" s="116"/>
      <c r="Y457" s="117">
        <f t="shared" si="299"/>
        <v>1503000</v>
      </c>
      <c r="Z457" s="12">
        <f>+Y457</f>
        <v>1503000</v>
      </c>
      <c r="AA457" s="12">
        <f t="shared" si="300"/>
        <v>0</v>
      </c>
      <c r="AB457" s="12"/>
      <c r="AC457" s="12">
        <f t="shared" si="301"/>
        <v>0</v>
      </c>
      <c r="AD457" s="42"/>
      <c r="AE457" s="12"/>
    </row>
    <row r="458" spans="1:31" s="46" customFormat="1" ht="21">
      <c r="A458" s="42" t="s">
        <v>0</v>
      </c>
      <c r="B458" s="42" t="s">
        <v>1</v>
      </c>
      <c r="C458" s="45" t="s">
        <v>1503</v>
      </c>
      <c r="D458" s="45" t="s">
        <v>375</v>
      </c>
      <c r="E458" s="29" t="s">
        <v>907</v>
      </c>
      <c r="F458" s="47" t="s">
        <v>137</v>
      </c>
      <c r="G458" s="42"/>
      <c r="H458" s="42"/>
      <c r="I458" s="44">
        <v>37.5</v>
      </c>
      <c r="J458" s="44">
        <f t="shared" si="295"/>
        <v>37.5</v>
      </c>
      <c r="K458" s="42">
        <v>15000</v>
      </c>
      <c r="L458" s="42">
        <f t="shared" si="294"/>
        <v>562500</v>
      </c>
      <c r="M458" s="42"/>
      <c r="N458" s="42" t="s">
        <v>64</v>
      </c>
      <c r="O458" s="101" t="s">
        <v>446</v>
      </c>
      <c r="P458" s="45">
        <v>2</v>
      </c>
      <c r="Q458" s="100">
        <v>42</v>
      </c>
      <c r="R458" s="100"/>
      <c r="S458" s="42">
        <v>6550</v>
      </c>
      <c r="T458" s="12">
        <f t="shared" si="296"/>
        <v>275100</v>
      </c>
      <c r="U458" s="102" t="s">
        <v>81</v>
      </c>
      <c r="V458" s="12">
        <f>+T458*0.12</f>
        <v>33012</v>
      </c>
      <c r="W458" s="12">
        <f t="shared" si="298"/>
        <v>242088</v>
      </c>
      <c r="X458" s="116"/>
      <c r="Y458" s="117">
        <f t="shared" si="299"/>
        <v>804588</v>
      </c>
      <c r="Z458" s="12"/>
      <c r="AA458" s="12">
        <f t="shared" si="300"/>
        <v>804588</v>
      </c>
      <c r="AB458" s="12">
        <v>0.02</v>
      </c>
      <c r="AC458" s="12">
        <f t="shared" si="301"/>
        <v>160.9176</v>
      </c>
      <c r="AD458" s="42"/>
      <c r="AE458" s="12"/>
    </row>
    <row r="459" spans="1:31" s="46" customFormat="1" ht="21">
      <c r="A459" s="42" t="s">
        <v>0</v>
      </c>
      <c r="B459" s="42" t="s">
        <v>1</v>
      </c>
      <c r="C459" s="45" t="s">
        <v>1504</v>
      </c>
      <c r="D459" s="51" t="s">
        <v>376</v>
      </c>
      <c r="E459" s="29" t="s">
        <v>907</v>
      </c>
      <c r="F459" s="47" t="s">
        <v>140</v>
      </c>
      <c r="G459" s="42"/>
      <c r="H459" s="42"/>
      <c r="I459" s="44">
        <v>10.2</v>
      </c>
      <c r="J459" s="44">
        <f t="shared" si="295"/>
        <v>10.2</v>
      </c>
      <c r="K459" s="42">
        <v>12000</v>
      </c>
      <c r="L459" s="42">
        <f aca="true" t="shared" si="302" ref="L459:L470">+K459*J459</f>
        <v>122399.99999999999</v>
      </c>
      <c r="M459" s="42"/>
      <c r="N459" s="42"/>
      <c r="O459" s="101"/>
      <c r="P459" s="45"/>
      <c r="Q459" s="42"/>
      <c r="R459" s="100"/>
      <c r="S459" s="42"/>
      <c r="T459" s="12">
        <f t="shared" si="296"/>
        <v>0</v>
      </c>
      <c r="U459" s="45"/>
      <c r="V459" s="12">
        <f t="shared" si="297"/>
        <v>0</v>
      </c>
      <c r="W459" s="12">
        <f t="shared" si="298"/>
        <v>0</v>
      </c>
      <c r="X459" s="116"/>
      <c r="Y459" s="117">
        <f t="shared" si="299"/>
        <v>122399.99999999999</v>
      </c>
      <c r="Z459" s="12"/>
      <c r="AA459" s="12">
        <f t="shared" si="300"/>
        <v>122399.99999999999</v>
      </c>
      <c r="AB459" s="12">
        <v>0.3</v>
      </c>
      <c r="AC459" s="12">
        <f t="shared" si="301"/>
        <v>367.19999999999993</v>
      </c>
      <c r="AD459" s="42"/>
      <c r="AE459" s="12"/>
    </row>
    <row r="460" spans="1:31" s="46" customFormat="1" ht="21">
      <c r="A460" s="42" t="s">
        <v>0</v>
      </c>
      <c r="B460" s="42" t="s">
        <v>1</v>
      </c>
      <c r="C460" s="45" t="s">
        <v>1505</v>
      </c>
      <c r="D460" s="51" t="s">
        <v>377</v>
      </c>
      <c r="E460" s="29" t="s">
        <v>907</v>
      </c>
      <c r="F460" s="47"/>
      <c r="G460" s="42"/>
      <c r="H460" s="42"/>
      <c r="I460" s="44">
        <v>57.6</v>
      </c>
      <c r="J460" s="44">
        <f t="shared" si="295"/>
        <v>57.6</v>
      </c>
      <c r="K460" s="42">
        <v>12000</v>
      </c>
      <c r="L460" s="42">
        <f t="shared" si="302"/>
        <v>691200</v>
      </c>
      <c r="M460" s="42"/>
      <c r="N460" s="42" t="s">
        <v>475</v>
      </c>
      <c r="O460" s="101"/>
      <c r="P460" s="45"/>
      <c r="Q460" s="42"/>
      <c r="R460" s="100"/>
      <c r="S460" s="42"/>
      <c r="T460" s="12">
        <f t="shared" si="296"/>
        <v>0</v>
      </c>
      <c r="U460" s="45"/>
      <c r="V460" s="12">
        <f t="shared" si="297"/>
        <v>0</v>
      </c>
      <c r="W460" s="12">
        <f t="shared" si="298"/>
        <v>0</v>
      </c>
      <c r="X460" s="116"/>
      <c r="Y460" s="117">
        <f t="shared" si="299"/>
        <v>691200</v>
      </c>
      <c r="Z460" s="12">
        <f>+Y460</f>
        <v>691200</v>
      </c>
      <c r="AA460" s="12">
        <f t="shared" si="300"/>
        <v>0</v>
      </c>
      <c r="AB460" s="12"/>
      <c r="AC460" s="12">
        <f t="shared" si="301"/>
        <v>0</v>
      </c>
      <c r="AD460" s="42"/>
      <c r="AE460" s="12"/>
    </row>
    <row r="461" spans="1:31" s="46" customFormat="1" ht="21">
      <c r="A461" s="42" t="s">
        <v>0</v>
      </c>
      <c r="B461" s="42" t="s">
        <v>1</v>
      </c>
      <c r="C461" s="45" t="s">
        <v>1506</v>
      </c>
      <c r="D461" s="51" t="s">
        <v>378</v>
      </c>
      <c r="E461" s="29" t="s">
        <v>907</v>
      </c>
      <c r="F461" s="47" t="s">
        <v>143</v>
      </c>
      <c r="G461" s="42"/>
      <c r="H461" s="42"/>
      <c r="I461" s="44">
        <v>40</v>
      </c>
      <c r="J461" s="44">
        <f t="shared" si="295"/>
        <v>40</v>
      </c>
      <c r="K461" s="42">
        <v>12000</v>
      </c>
      <c r="L461" s="42">
        <f>+K461*J461</f>
        <v>480000</v>
      </c>
      <c r="M461" s="42"/>
      <c r="N461" s="42" t="s">
        <v>64</v>
      </c>
      <c r="O461" s="101" t="s">
        <v>446</v>
      </c>
      <c r="P461" s="45">
        <v>3</v>
      </c>
      <c r="Q461" s="100">
        <v>112</v>
      </c>
      <c r="R461" s="100"/>
      <c r="S461" s="42">
        <v>6550</v>
      </c>
      <c r="T461" s="12">
        <f t="shared" si="296"/>
        <v>733600</v>
      </c>
      <c r="U461" s="45" t="s">
        <v>379</v>
      </c>
      <c r="V461" s="12">
        <f>+T461*0.03</f>
        <v>22008</v>
      </c>
      <c r="W461" s="12">
        <f t="shared" si="298"/>
        <v>711592</v>
      </c>
      <c r="X461" s="116"/>
      <c r="Y461" s="117">
        <f t="shared" si="299"/>
        <v>1191592</v>
      </c>
      <c r="Z461" s="12"/>
      <c r="AA461" s="12">
        <f t="shared" si="300"/>
        <v>1191592</v>
      </c>
      <c r="AB461" s="12">
        <v>0.3</v>
      </c>
      <c r="AC461" s="12">
        <f t="shared" si="301"/>
        <v>3574.776</v>
      </c>
      <c r="AD461" s="42"/>
      <c r="AE461" s="12"/>
    </row>
    <row r="462" spans="1:31" s="46" customFormat="1" ht="21">
      <c r="A462" s="42" t="s">
        <v>0</v>
      </c>
      <c r="B462" s="42" t="s">
        <v>1</v>
      </c>
      <c r="C462" s="45" t="s">
        <v>1507</v>
      </c>
      <c r="D462" s="51" t="s">
        <v>380</v>
      </c>
      <c r="E462" s="29" t="s">
        <v>907</v>
      </c>
      <c r="F462" s="47" t="s">
        <v>140</v>
      </c>
      <c r="G462" s="42"/>
      <c r="H462" s="42"/>
      <c r="I462" s="44">
        <v>33.7</v>
      </c>
      <c r="J462" s="44">
        <f aca="true" t="shared" si="303" ref="J462:J468">+I462+(H462*100)+(G462*400)</f>
        <v>33.7</v>
      </c>
      <c r="K462" s="42">
        <v>15000</v>
      </c>
      <c r="L462" s="42">
        <f t="shared" si="302"/>
        <v>505500.00000000006</v>
      </c>
      <c r="M462" s="42"/>
      <c r="N462" s="42"/>
      <c r="O462" s="101"/>
      <c r="P462" s="45"/>
      <c r="Q462" s="42"/>
      <c r="R462" s="100"/>
      <c r="S462" s="42"/>
      <c r="T462" s="12">
        <f aca="true" t="shared" si="304" ref="T462:T468">+Q462*S462</f>
        <v>0</v>
      </c>
      <c r="U462" s="45"/>
      <c r="V462" s="12">
        <f aca="true" t="shared" si="305" ref="V462:V468">+T462*0</f>
        <v>0</v>
      </c>
      <c r="W462" s="12">
        <f aca="true" t="shared" si="306" ref="W462:W468">+T462-V462</f>
        <v>0</v>
      </c>
      <c r="X462" s="116"/>
      <c r="Y462" s="117">
        <f aca="true" t="shared" si="307" ref="Y462:Y468">+L462+W462</f>
        <v>505500.00000000006</v>
      </c>
      <c r="Z462" s="12"/>
      <c r="AA462" s="12">
        <f aca="true" t="shared" si="308" ref="AA462:AA468">+Y462-Z462</f>
        <v>505500.00000000006</v>
      </c>
      <c r="AB462" s="12">
        <v>0.3</v>
      </c>
      <c r="AC462" s="12">
        <f aca="true" t="shared" si="309" ref="AC462:AC468">+AA462*AB462/100</f>
        <v>1516.5</v>
      </c>
      <c r="AD462" s="42"/>
      <c r="AE462" s="12"/>
    </row>
    <row r="463" spans="1:31" s="46" customFormat="1" ht="21">
      <c r="A463" s="42" t="s">
        <v>0</v>
      </c>
      <c r="B463" s="42" t="s">
        <v>1</v>
      </c>
      <c r="C463" s="45" t="s">
        <v>1508</v>
      </c>
      <c r="D463" s="51" t="s">
        <v>381</v>
      </c>
      <c r="E463" s="29" t="s">
        <v>907</v>
      </c>
      <c r="F463" s="47" t="s">
        <v>140</v>
      </c>
      <c r="G463" s="42"/>
      <c r="H463" s="42"/>
      <c r="I463" s="44">
        <v>37.7</v>
      </c>
      <c r="J463" s="44">
        <f t="shared" si="303"/>
        <v>37.7</v>
      </c>
      <c r="K463" s="42">
        <v>15000</v>
      </c>
      <c r="L463" s="42">
        <f t="shared" si="302"/>
        <v>565500</v>
      </c>
      <c r="M463" s="42"/>
      <c r="N463" s="42"/>
      <c r="O463" s="101"/>
      <c r="P463" s="45"/>
      <c r="Q463" s="42"/>
      <c r="R463" s="100"/>
      <c r="S463" s="42"/>
      <c r="T463" s="12">
        <f t="shared" si="304"/>
        <v>0</v>
      </c>
      <c r="U463" s="45"/>
      <c r="V463" s="12">
        <f t="shared" si="305"/>
        <v>0</v>
      </c>
      <c r="W463" s="12">
        <f t="shared" si="306"/>
        <v>0</v>
      </c>
      <c r="X463" s="116"/>
      <c r="Y463" s="117">
        <f t="shared" si="307"/>
        <v>565500</v>
      </c>
      <c r="Z463" s="12"/>
      <c r="AA463" s="12">
        <f t="shared" si="308"/>
        <v>565500</v>
      </c>
      <c r="AB463" s="12">
        <v>0.3</v>
      </c>
      <c r="AC463" s="12">
        <f t="shared" si="309"/>
        <v>1696.5</v>
      </c>
      <c r="AD463" s="42"/>
      <c r="AE463" s="12"/>
    </row>
    <row r="464" spans="1:31" s="46" customFormat="1" ht="21">
      <c r="A464" s="42" t="s">
        <v>0</v>
      </c>
      <c r="B464" s="42" t="s">
        <v>1</v>
      </c>
      <c r="C464" s="45" t="s">
        <v>1509</v>
      </c>
      <c r="D464" s="51" t="s">
        <v>382</v>
      </c>
      <c r="E464" s="29" t="s">
        <v>907</v>
      </c>
      <c r="F464" s="47" t="s">
        <v>140</v>
      </c>
      <c r="G464" s="42"/>
      <c r="H464" s="42"/>
      <c r="I464" s="44">
        <v>42.2</v>
      </c>
      <c r="J464" s="44">
        <f t="shared" si="303"/>
        <v>42.2</v>
      </c>
      <c r="K464" s="42">
        <v>15000</v>
      </c>
      <c r="L464" s="42">
        <f t="shared" si="302"/>
        <v>633000</v>
      </c>
      <c r="M464" s="42"/>
      <c r="N464" s="42"/>
      <c r="O464" s="101"/>
      <c r="P464" s="45"/>
      <c r="Q464" s="42"/>
      <c r="R464" s="100"/>
      <c r="S464" s="42"/>
      <c r="T464" s="12">
        <f t="shared" si="304"/>
        <v>0</v>
      </c>
      <c r="U464" s="45"/>
      <c r="V464" s="12">
        <f t="shared" si="305"/>
        <v>0</v>
      </c>
      <c r="W464" s="12">
        <f t="shared" si="306"/>
        <v>0</v>
      </c>
      <c r="X464" s="116"/>
      <c r="Y464" s="117">
        <f t="shared" si="307"/>
        <v>633000</v>
      </c>
      <c r="Z464" s="12"/>
      <c r="AA464" s="12">
        <f t="shared" si="308"/>
        <v>633000</v>
      </c>
      <c r="AB464" s="12">
        <v>0.3</v>
      </c>
      <c r="AC464" s="12">
        <f t="shared" si="309"/>
        <v>1899</v>
      </c>
      <c r="AD464" s="42"/>
      <c r="AE464" s="12"/>
    </row>
    <row r="465" spans="1:31" s="46" customFormat="1" ht="21">
      <c r="A465" s="42" t="s">
        <v>0</v>
      </c>
      <c r="B465" s="42" t="s">
        <v>1</v>
      </c>
      <c r="C465" s="45" t="s">
        <v>1510</v>
      </c>
      <c r="D465" s="51" t="s">
        <v>383</v>
      </c>
      <c r="E465" s="29" t="s">
        <v>907</v>
      </c>
      <c r="F465" s="47" t="s">
        <v>140</v>
      </c>
      <c r="G465" s="42"/>
      <c r="H465" s="42"/>
      <c r="I465" s="44">
        <v>4.7</v>
      </c>
      <c r="J465" s="44">
        <f>+I465+(H465*100)+(G465*400)</f>
        <v>4.7</v>
      </c>
      <c r="K465" s="42">
        <v>15000</v>
      </c>
      <c r="L465" s="42">
        <f>+K465*J465</f>
        <v>70500</v>
      </c>
      <c r="M465" s="42"/>
      <c r="N465" s="42"/>
      <c r="O465" s="101"/>
      <c r="P465" s="45"/>
      <c r="Q465" s="42"/>
      <c r="R465" s="100"/>
      <c r="S465" s="42"/>
      <c r="T465" s="12">
        <f>+Q465*S465</f>
        <v>0</v>
      </c>
      <c r="U465" s="45"/>
      <c r="V465" s="12">
        <f>+T465*0</f>
        <v>0</v>
      </c>
      <c r="W465" s="12">
        <f>+T465-V465</f>
        <v>0</v>
      </c>
      <c r="X465" s="116"/>
      <c r="Y465" s="117">
        <f t="shared" si="307"/>
        <v>70500</v>
      </c>
      <c r="Z465" s="12"/>
      <c r="AA465" s="12">
        <f>+Y465-Z465</f>
        <v>70500</v>
      </c>
      <c r="AB465" s="12">
        <v>0.3</v>
      </c>
      <c r="AC465" s="12">
        <f>+AA465*AB465/100</f>
        <v>211.5</v>
      </c>
      <c r="AD465" s="42"/>
      <c r="AE465" s="12"/>
    </row>
    <row r="466" spans="1:31" s="46" customFormat="1" ht="21">
      <c r="A466" s="42" t="s">
        <v>0</v>
      </c>
      <c r="B466" s="42" t="s">
        <v>1</v>
      </c>
      <c r="C466" s="45" t="s">
        <v>1511</v>
      </c>
      <c r="D466" s="51" t="s">
        <v>384</v>
      </c>
      <c r="E466" s="29" t="s">
        <v>907</v>
      </c>
      <c r="F466" s="47" t="s">
        <v>140</v>
      </c>
      <c r="G466" s="42"/>
      <c r="H466" s="42"/>
      <c r="I466" s="44">
        <v>4.5</v>
      </c>
      <c r="J466" s="44">
        <f>+I466+(H466*100)+(G466*400)</f>
        <v>4.5</v>
      </c>
      <c r="K466" s="42">
        <v>15000</v>
      </c>
      <c r="L466" s="42">
        <f>+K466*J466</f>
        <v>67500</v>
      </c>
      <c r="M466" s="42"/>
      <c r="N466" s="42"/>
      <c r="O466" s="101"/>
      <c r="P466" s="45"/>
      <c r="Q466" s="42"/>
      <c r="R466" s="100"/>
      <c r="S466" s="42"/>
      <c r="T466" s="12">
        <f>+Q466*S466</f>
        <v>0</v>
      </c>
      <c r="U466" s="45"/>
      <c r="V466" s="12">
        <f>+T466*0</f>
        <v>0</v>
      </c>
      <c r="W466" s="12">
        <f>+T466-V466</f>
        <v>0</v>
      </c>
      <c r="X466" s="116"/>
      <c r="Y466" s="117">
        <f t="shared" si="307"/>
        <v>67500</v>
      </c>
      <c r="Z466" s="12"/>
      <c r="AA466" s="12">
        <f>+Y466-Z466</f>
        <v>67500</v>
      </c>
      <c r="AB466" s="12">
        <v>0.3</v>
      </c>
      <c r="AC466" s="12">
        <f>+AA466*AB466/100</f>
        <v>202.5</v>
      </c>
      <c r="AD466" s="42"/>
      <c r="AE466" s="12"/>
    </row>
    <row r="467" spans="1:31" s="46" customFormat="1" ht="21">
      <c r="A467" s="42" t="s">
        <v>0</v>
      </c>
      <c r="B467" s="42" t="s">
        <v>1</v>
      </c>
      <c r="C467" s="45" t="s">
        <v>1512</v>
      </c>
      <c r="D467" s="51" t="s">
        <v>385</v>
      </c>
      <c r="E467" s="29" t="s">
        <v>907</v>
      </c>
      <c r="F467" s="47" t="s">
        <v>140</v>
      </c>
      <c r="G467" s="42"/>
      <c r="H467" s="42"/>
      <c r="I467" s="44">
        <v>45.1</v>
      </c>
      <c r="J467" s="44">
        <f>+I467+(H467*100)+(G467*400)</f>
        <v>45.1</v>
      </c>
      <c r="K467" s="42">
        <v>15000</v>
      </c>
      <c r="L467" s="42">
        <f>+K467*J467</f>
        <v>676500</v>
      </c>
      <c r="M467" s="42"/>
      <c r="N467" s="42"/>
      <c r="O467" s="101"/>
      <c r="P467" s="45"/>
      <c r="Q467" s="42"/>
      <c r="R467" s="100"/>
      <c r="S467" s="42"/>
      <c r="T467" s="12">
        <f>+Q467*S467</f>
        <v>0</v>
      </c>
      <c r="U467" s="45"/>
      <c r="V467" s="12">
        <f>+T467*0</f>
        <v>0</v>
      </c>
      <c r="W467" s="12">
        <f>+T467-V467</f>
        <v>0</v>
      </c>
      <c r="X467" s="116"/>
      <c r="Y467" s="117">
        <f t="shared" si="307"/>
        <v>676500</v>
      </c>
      <c r="Z467" s="12"/>
      <c r="AA467" s="12">
        <f>+Y467-Z467</f>
        <v>676500</v>
      </c>
      <c r="AB467" s="12">
        <v>0.3</v>
      </c>
      <c r="AC467" s="12">
        <f>+AA467*AB467/100</f>
        <v>2029.5</v>
      </c>
      <c r="AD467" s="42"/>
      <c r="AE467" s="12"/>
    </row>
    <row r="468" spans="1:31" s="46" customFormat="1" ht="21">
      <c r="A468" s="42"/>
      <c r="B468" s="42"/>
      <c r="C468" s="45"/>
      <c r="D468" s="31"/>
      <c r="E468" s="31"/>
      <c r="F468" s="47"/>
      <c r="G468" s="42"/>
      <c r="H468" s="42"/>
      <c r="I468" s="44"/>
      <c r="J468" s="44">
        <f t="shared" si="303"/>
        <v>0</v>
      </c>
      <c r="K468" s="42"/>
      <c r="L468" s="42">
        <f t="shared" si="302"/>
        <v>0</v>
      </c>
      <c r="M468" s="42"/>
      <c r="N468" s="42"/>
      <c r="O468" s="101"/>
      <c r="P468" s="45"/>
      <c r="Q468" s="42"/>
      <c r="R468" s="42"/>
      <c r="S468" s="42"/>
      <c r="T468" s="12">
        <f t="shared" si="304"/>
        <v>0</v>
      </c>
      <c r="U468" s="45"/>
      <c r="V468" s="12">
        <f t="shared" si="305"/>
        <v>0</v>
      </c>
      <c r="W468" s="12">
        <f t="shared" si="306"/>
        <v>0</v>
      </c>
      <c r="X468" s="12"/>
      <c r="Y468" s="12">
        <f t="shared" si="307"/>
        <v>0</v>
      </c>
      <c r="Z468" s="12"/>
      <c r="AA468" s="12">
        <f t="shared" si="308"/>
        <v>0</v>
      </c>
      <c r="AB468" s="12"/>
      <c r="AC468" s="12">
        <f t="shared" si="309"/>
        <v>0</v>
      </c>
      <c r="AD468" s="42"/>
      <c r="AE468" s="12"/>
    </row>
    <row r="469" spans="1:31" s="46" customFormat="1" ht="21">
      <c r="A469" s="42" t="s">
        <v>0</v>
      </c>
      <c r="B469" s="42" t="s">
        <v>1</v>
      </c>
      <c r="C469" s="45" t="s">
        <v>1513</v>
      </c>
      <c r="D469" s="51" t="s">
        <v>386</v>
      </c>
      <c r="E469" s="29" t="s">
        <v>907</v>
      </c>
      <c r="F469" s="47" t="s">
        <v>137</v>
      </c>
      <c r="G469" s="42"/>
      <c r="H469" s="42"/>
      <c r="I469" s="44">
        <v>12</v>
      </c>
      <c r="J469" s="44">
        <f aca="true" t="shared" si="310" ref="J469:J507">+I469+(H469*100)+(G469*400)</f>
        <v>12</v>
      </c>
      <c r="K469" s="42">
        <v>12000</v>
      </c>
      <c r="L469" s="42">
        <f t="shared" si="302"/>
        <v>144000</v>
      </c>
      <c r="M469" s="42"/>
      <c r="N469" s="42" t="s">
        <v>60</v>
      </c>
      <c r="O469" s="101" t="s">
        <v>446</v>
      </c>
      <c r="P469" s="45">
        <v>2</v>
      </c>
      <c r="Q469" s="100">
        <v>96</v>
      </c>
      <c r="R469" s="100"/>
      <c r="S469" s="42">
        <v>7550</v>
      </c>
      <c r="T469" s="12">
        <f aca="true" t="shared" si="311" ref="T469:T507">+Q469*S469</f>
        <v>724800</v>
      </c>
      <c r="U469" s="102" t="s">
        <v>95</v>
      </c>
      <c r="V469" s="12">
        <f>+T469*0.48</f>
        <v>347904</v>
      </c>
      <c r="W469" s="12">
        <f aca="true" t="shared" si="312" ref="W469:W507">+T469-V469</f>
        <v>376896</v>
      </c>
      <c r="X469" s="116"/>
      <c r="Y469" s="117">
        <f aca="true" t="shared" si="313" ref="Y469:Y510">+L469+W469</f>
        <v>520896</v>
      </c>
      <c r="Z469" s="12"/>
      <c r="AA469" s="12">
        <f aca="true" t="shared" si="314" ref="AA469:AA507">+Y469-Z469</f>
        <v>520896</v>
      </c>
      <c r="AB469" s="12">
        <v>0.02</v>
      </c>
      <c r="AC469" s="12">
        <f aca="true" t="shared" si="315" ref="AC469:AC507">+AA469*AB469/100</f>
        <v>104.1792</v>
      </c>
      <c r="AD469" s="42"/>
      <c r="AE469" s="12"/>
    </row>
    <row r="470" spans="1:31" s="46" customFormat="1" ht="21">
      <c r="A470" s="42" t="s">
        <v>0</v>
      </c>
      <c r="B470" s="42" t="s">
        <v>1</v>
      </c>
      <c r="C470" s="45" t="s">
        <v>1514</v>
      </c>
      <c r="D470" s="45" t="s">
        <v>387</v>
      </c>
      <c r="E470" s="29" t="s">
        <v>907</v>
      </c>
      <c r="F470" s="47" t="s">
        <v>137</v>
      </c>
      <c r="G470" s="42"/>
      <c r="H470" s="42"/>
      <c r="I470" s="44">
        <v>10.3</v>
      </c>
      <c r="J470" s="44">
        <f t="shared" si="310"/>
        <v>10.3</v>
      </c>
      <c r="K470" s="42">
        <v>4000</v>
      </c>
      <c r="L470" s="42">
        <f t="shared" si="302"/>
        <v>41200</v>
      </c>
      <c r="M470" s="42"/>
      <c r="N470" s="42" t="s">
        <v>60</v>
      </c>
      <c r="O470" s="101" t="s">
        <v>446</v>
      </c>
      <c r="P470" s="45">
        <v>2</v>
      </c>
      <c r="Q470" s="100">
        <v>36</v>
      </c>
      <c r="R470" s="100"/>
      <c r="S470" s="42">
        <v>7550</v>
      </c>
      <c r="T470" s="12">
        <f t="shared" si="311"/>
        <v>271800</v>
      </c>
      <c r="U470" s="102" t="s">
        <v>93</v>
      </c>
      <c r="V470" s="12">
        <f>+T470*0.44</f>
        <v>119592</v>
      </c>
      <c r="W470" s="12">
        <f t="shared" si="312"/>
        <v>152208</v>
      </c>
      <c r="X470" s="116"/>
      <c r="Y470" s="117">
        <f t="shared" si="313"/>
        <v>193408</v>
      </c>
      <c r="Z470" s="12"/>
      <c r="AA470" s="12">
        <f t="shared" si="314"/>
        <v>193408</v>
      </c>
      <c r="AB470" s="12">
        <v>0.02</v>
      </c>
      <c r="AC470" s="12">
        <f t="shared" si="315"/>
        <v>38.681599999999996</v>
      </c>
      <c r="AD470" s="42"/>
      <c r="AE470" s="12"/>
    </row>
    <row r="471" spans="1:31" s="46" customFormat="1" ht="21">
      <c r="A471" s="42" t="s">
        <v>0</v>
      </c>
      <c r="B471" s="42" t="s">
        <v>1</v>
      </c>
      <c r="C471" s="45" t="s">
        <v>1515</v>
      </c>
      <c r="D471" s="45" t="s">
        <v>388</v>
      </c>
      <c r="E471" s="29" t="s">
        <v>907</v>
      </c>
      <c r="F471" s="47" t="s">
        <v>137</v>
      </c>
      <c r="G471" s="42"/>
      <c r="H471" s="42"/>
      <c r="I471" s="44">
        <v>13.2</v>
      </c>
      <c r="J471" s="44">
        <f t="shared" si="310"/>
        <v>13.2</v>
      </c>
      <c r="K471" s="42">
        <v>4000</v>
      </c>
      <c r="L471" s="42">
        <f>+K471*J471</f>
        <v>52800</v>
      </c>
      <c r="M471" s="42"/>
      <c r="N471" s="42" t="s">
        <v>60</v>
      </c>
      <c r="O471" s="101" t="s">
        <v>446</v>
      </c>
      <c r="P471" s="45">
        <v>2</v>
      </c>
      <c r="Q471" s="100">
        <v>36</v>
      </c>
      <c r="R471" s="100"/>
      <c r="S471" s="42">
        <v>7550</v>
      </c>
      <c r="T471" s="12">
        <f t="shared" si="311"/>
        <v>271800</v>
      </c>
      <c r="U471" s="102" t="s">
        <v>93</v>
      </c>
      <c r="V471" s="12">
        <f>+T471*0.44</f>
        <v>119592</v>
      </c>
      <c r="W471" s="12">
        <f t="shared" si="312"/>
        <v>152208</v>
      </c>
      <c r="X471" s="116"/>
      <c r="Y471" s="117">
        <f t="shared" si="313"/>
        <v>205008</v>
      </c>
      <c r="Z471" s="12"/>
      <c r="AA471" s="12">
        <f t="shared" si="314"/>
        <v>205008</v>
      </c>
      <c r="AB471" s="12">
        <v>0.02</v>
      </c>
      <c r="AC471" s="12">
        <f t="shared" si="315"/>
        <v>41.001599999999996</v>
      </c>
      <c r="AD471" s="42"/>
      <c r="AE471" s="12"/>
    </row>
    <row r="472" spans="1:31" s="46" customFormat="1" ht="21">
      <c r="A472" s="42"/>
      <c r="B472" s="42"/>
      <c r="C472" s="45"/>
      <c r="D472" s="31"/>
      <c r="E472" s="31"/>
      <c r="F472" s="47"/>
      <c r="G472" s="42"/>
      <c r="H472" s="42"/>
      <c r="I472" s="44"/>
      <c r="J472" s="44">
        <f t="shared" si="310"/>
        <v>0</v>
      </c>
      <c r="K472" s="42"/>
      <c r="L472" s="42">
        <f>+K472*J472</f>
        <v>0</v>
      </c>
      <c r="M472" s="42"/>
      <c r="N472" s="42"/>
      <c r="O472" s="101"/>
      <c r="P472" s="45"/>
      <c r="Q472" s="42"/>
      <c r="R472" s="42"/>
      <c r="S472" s="42"/>
      <c r="T472" s="12">
        <f t="shared" si="311"/>
        <v>0</v>
      </c>
      <c r="U472" s="45"/>
      <c r="V472" s="12">
        <f>+T472*0</f>
        <v>0</v>
      </c>
      <c r="W472" s="12">
        <f t="shared" si="312"/>
        <v>0</v>
      </c>
      <c r="X472" s="12"/>
      <c r="Y472" s="12">
        <f t="shared" si="313"/>
        <v>0</v>
      </c>
      <c r="Z472" s="12"/>
      <c r="AA472" s="12">
        <f t="shared" si="314"/>
        <v>0</v>
      </c>
      <c r="AB472" s="12"/>
      <c r="AC472" s="12">
        <f t="shared" si="315"/>
        <v>0</v>
      </c>
      <c r="AD472" s="42"/>
      <c r="AE472" s="12"/>
    </row>
    <row r="473" spans="1:31" s="46" customFormat="1" ht="21">
      <c r="A473" s="42"/>
      <c r="B473" s="42"/>
      <c r="C473" s="45"/>
      <c r="D473" s="31"/>
      <c r="E473" s="31"/>
      <c r="F473" s="47"/>
      <c r="G473" s="42"/>
      <c r="H473" s="42"/>
      <c r="I473" s="44"/>
      <c r="J473" s="44">
        <f t="shared" si="310"/>
        <v>0</v>
      </c>
      <c r="K473" s="42"/>
      <c r="L473" s="42">
        <f>+K473*J473</f>
        <v>0</v>
      </c>
      <c r="M473" s="42"/>
      <c r="N473" s="42"/>
      <c r="O473" s="101"/>
      <c r="P473" s="45"/>
      <c r="Q473" s="42"/>
      <c r="R473" s="42"/>
      <c r="S473" s="42"/>
      <c r="T473" s="12">
        <f t="shared" si="311"/>
        <v>0</v>
      </c>
      <c r="U473" s="45"/>
      <c r="V473" s="12">
        <f>+T473*0</f>
        <v>0</v>
      </c>
      <c r="W473" s="12">
        <f t="shared" si="312"/>
        <v>0</v>
      </c>
      <c r="X473" s="12"/>
      <c r="Y473" s="12">
        <f t="shared" si="313"/>
        <v>0</v>
      </c>
      <c r="Z473" s="12"/>
      <c r="AA473" s="12">
        <f t="shared" si="314"/>
        <v>0</v>
      </c>
      <c r="AB473" s="12"/>
      <c r="AC473" s="12">
        <f t="shared" si="315"/>
        <v>0</v>
      </c>
      <c r="AD473" s="42"/>
      <c r="AE473" s="12"/>
    </row>
    <row r="474" spans="1:31" s="46" customFormat="1" ht="21">
      <c r="A474" s="42" t="s">
        <v>0</v>
      </c>
      <c r="B474" s="42" t="s">
        <v>1</v>
      </c>
      <c r="C474" s="45" t="s">
        <v>1516</v>
      </c>
      <c r="D474" s="45" t="s">
        <v>389</v>
      </c>
      <c r="E474" s="29" t="s">
        <v>907</v>
      </c>
      <c r="F474" s="47" t="s">
        <v>140</v>
      </c>
      <c r="G474" s="42"/>
      <c r="H474" s="42">
        <v>1</v>
      </c>
      <c r="I474" s="44">
        <v>18.8</v>
      </c>
      <c r="J474" s="44">
        <f t="shared" si="310"/>
        <v>118.8</v>
      </c>
      <c r="K474" s="42">
        <v>6000</v>
      </c>
      <c r="L474" s="42">
        <f aca="true" t="shared" si="316" ref="L474:L486">+K474*J474</f>
        <v>712800</v>
      </c>
      <c r="M474" s="42"/>
      <c r="N474" s="42"/>
      <c r="O474" s="101"/>
      <c r="P474" s="45"/>
      <c r="Q474" s="42"/>
      <c r="R474" s="100"/>
      <c r="S474" s="42"/>
      <c r="T474" s="12">
        <f t="shared" si="311"/>
        <v>0</v>
      </c>
      <c r="U474" s="45"/>
      <c r="V474" s="12">
        <f>+T474*0</f>
        <v>0</v>
      </c>
      <c r="W474" s="12">
        <f t="shared" si="312"/>
        <v>0</v>
      </c>
      <c r="X474" s="116"/>
      <c r="Y474" s="117">
        <f t="shared" si="313"/>
        <v>712800</v>
      </c>
      <c r="Z474" s="12"/>
      <c r="AA474" s="12">
        <f t="shared" si="314"/>
        <v>712800</v>
      </c>
      <c r="AB474" s="12">
        <v>0.3</v>
      </c>
      <c r="AC474" s="12">
        <f t="shared" si="315"/>
        <v>2138.4</v>
      </c>
      <c r="AD474" s="42"/>
      <c r="AE474" s="12"/>
    </row>
    <row r="475" spans="1:31" s="46" customFormat="1" ht="21">
      <c r="A475" s="42"/>
      <c r="B475" s="42"/>
      <c r="C475" s="45"/>
      <c r="D475" s="31"/>
      <c r="E475" s="31"/>
      <c r="F475" s="47"/>
      <c r="G475" s="42"/>
      <c r="H475" s="42"/>
      <c r="I475" s="44"/>
      <c r="J475" s="44">
        <f t="shared" si="310"/>
        <v>0</v>
      </c>
      <c r="K475" s="42"/>
      <c r="L475" s="42">
        <f t="shared" si="316"/>
        <v>0</v>
      </c>
      <c r="M475" s="42"/>
      <c r="N475" s="42"/>
      <c r="O475" s="101"/>
      <c r="P475" s="45"/>
      <c r="Q475" s="42"/>
      <c r="R475" s="42"/>
      <c r="S475" s="42"/>
      <c r="T475" s="12">
        <f t="shared" si="311"/>
        <v>0</v>
      </c>
      <c r="U475" s="45"/>
      <c r="V475" s="12">
        <f>+T475*0</f>
        <v>0</v>
      </c>
      <c r="W475" s="12">
        <f t="shared" si="312"/>
        <v>0</v>
      </c>
      <c r="X475" s="12"/>
      <c r="Y475" s="12">
        <f t="shared" si="313"/>
        <v>0</v>
      </c>
      <c r="Z475" s="12"/>
      <c r="AA475" s="12">
        <f t="shared" si="314"/>
        <v>0</v>
      </c>
      <c r="AB475" s="12"/>
      <c r="AC475" s="12">
        <f t="shared" si="315"/>
        <v>0</v>
      </c>
      <c r="AD475" s="42"/>
      <c r="AE475" s="12"/>
    </row>
    <row r="476" spans="1:31" s="46" customFormat="1" ht="21">
      <c r="A476" s="42"/>
      <c r="B476" s="42"/>
      <c r="C476" s="45"/>
      <c r="D476" s="31"/>
      <c r="E476" s="31"/>
      <c r="F476" s="47"/>
      <c r="G476" s="42"/>
      <c r="H476" s="42"/>
      <c r="I476" s="44"/>
      <c r="J476" s="44">
        <f t="shared" si="310"/>
        <v>0</v>
      </c>
      <c r="K476" s="42"/>
      <c r="L476" s="42">
        <f t="shared" si="316"/>
        <v>0</v>
      </c>
      <c r="M476" s="42"/>
      <c r="N476" s="42"/>
      <c r="O476" s="101"/>
      <c r="P476" s="45"/>
      <c r="Q476" s="42"/>
      <c r="R476" s="42"/>
      <c r="S476" s="42"/>
      <c r="T476" s="12">
        <f t="shared" si="311"/>
        <v>0</v>
      </c>
      <c r="U476" s="45"/>
      <c r="V476" s="12">
        <f>+T476*0</f>
        <v>0</v>
      </c>
      <c r="W476" s="12">
        <f t="shared" si="312"/>
        <v>0</v>
      </c>
      <c r="X476" s="12"/>
      <c r="Y476" s="12">
        <f t="shared" si="313"/>
        <v>0</v>
      </c>
      <c r="Z476" s="12"/>
      <c r="AA476" s="12">
        <f t="shared" si="314"/>
        <v>0</v>
      </c>
      <c r="AB476" s="12"/>
      <c r="AC476" s="12">
        <f t="shared" si="315"/>
        <v>0</v>
      </c>
      <c r="AD476" s="42"/>
      <c r="AE476" s="12"/>
    </row>
    <row r="477" spans="1:31" s="46" customFormat="1" ht="21">
      <c r="A477" s="42" t="s">
        <v>0</v>
      </c>
      <c r="B477" s="42" t="s">
        <v>1</v>
      </c>
      <c r="C477" s="45" t="s">
        <v>1517</v>
      </c>
      <c r="D477" s="51" t="s">
        <v>390</v>
      </c>
      <c r="E477" s="10" t="s">
        <v>909</v>
      </c>
      <c r="F477" s="47" t="s">
        <v>137</v>
      </c>
      <c r="G477" s="42"/>
      <c r="H477" s="42"/>
      <c r="I477" s="44">
        <v>11.8</v>
      </c>
      <c r="J477" s="44">
        <f t="shared" si="310"/>
        <v>11.8</v>
      </c>
      <c r="K477" s="42">
        <v>12000</v>
      </c>
      <c r="L477" s="42">
        <f t="shared" si="316"/>
        <v>141600</v>
      </c>
      <c r="M477" s="42"/>
      <c r="N477" s="42" t="s">
        <v>60</v>
      </c>
      <c r="O477" s="101" t="s">
        <v>446</v>
      </c>
      <c r="P477" s="45">
        <v>2</v>
      </c>
      <c r="Q477" s="100">
        <v>64</v>
      </c>
      <c r="R477" s="100"/>
      <c r="S477" s="42">
        <v>7550</v>
      </c>
      <c r="T477" s="12">
        <f t="shared" si="311"/>
        <v>483200</v>
      </c>
      <c r="U477" s="102" t="s">
        <v>92</v>
      </c>
      <c r="V477" s="12">
        <f>+T477*0.42</f>
        <v>202944</v>
      </c>
      <c r="W477" s="12">
        <f t="shared" si="312"/>
        <v>280256</v>
      </c>
      <c r="X477" s="116"/>
      <c r="Y477" s="117">
        <f t="shared" si="313"/>
        <v>421856</v>
      </c>
      <c r="Z477" s="12"/>
      <c r="AA477" s="12">
        <f t="shared" si="314"/>
        <v>421856</v>
      </c>
      <c r="AB477" s="12">
        <v>0.02</v>
      </c>
      <c r="AC477" s="12">
        <f t="shared" si="315"/>
        <v>84.3712</v>
      </c>
      <c r="AD477" s="42"/>
      <c r="AE477" s="12"/>
    </row>
    <row r="478" spans="1:31" s="46" customFormat="1" ht="21">
      <c r="A478" s="42"/>
      <c r="B478" s="42"/>
      <c r="C478" s="45"/>
      <c r="D478" s="31"/>
      <c r="E478" s="31"/>
      <c r="F478" s="47"/>
      <c r="G478" s="42"/>
      <c r="H478" s="42"/>
      <c r="I478" s="44"/>
      <c r="J478" s="44">
        <f t="shared" si="310"/>
        <v>0</v>
      </c>
      <c r="K478" s="42"/>
      <c r="L478" s="42">
        <f t="shared" si="316"/>
        <v>0</v>
      </c>
      <c r="M478" s="42"/>
      <c r="N478" s="42"/>
      <c r="O478" s="101"/>
      <c r="P478" s="45"/>
      <c r="Q478" s="42"/>
      <c r="R478" s="42"/>
      <c r="S478" s="42"/>
      <c r="T478" s="12">
        <f t="shared" si="311"/>
        <v>0</v>
      </c>
      <c r="U478" s="45"/>
      <c r="V478" s="12">
        <f>+T478*0</f>
        <v>0</v>
      </c>
      <c r="W478" s="12">
        <f t="shared" si="312"/>
        <v>0</v>
      </c>
      <c r="X478" s="12"/>
      <c r="Y478" s="12">
        <f t="shared" si="313"/>
        <v>0</v>
      </c>
      <c r="Z478" s="12"/>
      <c r="AA478" s="12">
        <f t="shared" si="314"/>
        <v>0</v>
      </c>
      <c r="AB478" s="12"/>
      <c r="AC478" s="12">
        <f t="shared" si="315"/>
        <v>0</v>
      </c>
      <c r="AD478" s="42"/>
      <c r="AE478" s="12"/>
    </row>
    <row r="479" spans="1:31" s="46" customFormat="1" ht="21">
      <c r="A479" s="42"/>
      <c r="B479" s="42"/>
      <c r="C479" s="45"/>
      <c r="D479" s="31"/>
      <c r="E479" s="31"/>
      <c r="F479" s="47"/>
      <c r="G479" s="42"/>
      <c r="H479" s="42"/>
      <c r="I479" s="44"/>
      <c r="J479" s="44">
        <f t="shared" si="310"/>
        <v>0</v>
      </c>
      <c r="K479" s="42"/>
      <c r="L479" s="42">
        <f t="shared" si="316"/>
        <v>0</v>
      </c>
      <c r="M479" s="42"/>
      <c r="N479" s="42"/>
      <c r="O479" s="101"/>
      <c r="P479" s="45"/>
      <c r="Q479" s="42"/>
      <c r="R479" s="42"/>
      <c r="S479" s="42"/>
      <c r="T479" s="12">
        <f t="shared" si="311"/>
        <v>0</v>
      </c>
      <c r="U479" s="45"/>
      <c r="V479" s="12">
        <f>+T479*0</f>
        <v>0</v>
      </c>
      <c r="W479" s="12">
        <f t="shared" si="312"/>
        <v>0</v>
      </c>
      <c r="X479" s="12"/>
      <c r="Y479" s="12">
        <f t="shared" si="313"/>
        <v>0</v>
      </c>
      <c r="Z479" s="12"/>
      <c r="AA479" s="12">
        <f t="shared" si="314"/>
        <v>0</v>
      </c>
      <c r="AB479" s="12"/>
      <c r="AC479" s="12">
        <f t="shared" si="315"/>
        <v>0</v>
      </c>
      <c r="AD479" s="42"/>
      <c r="AE479" s="12"/>
    </row>
    <row r="480" spans="1:31" s="46" customFormat="1" ht="21">
      <c r="A480" s="42" t="s">
        <v>0</v>
      </c>
      <c r="B480" s="42" t="s">
        <v>1</v>
      </c>
      <c r="C480" s="45" t="s">
        <v>1518</v>
      </c>
      <c r="D480" s="45" t="s">
        <v>391</v>
      </c>
      <c r="E480" s="29" t="s">
        <v>907</v>
      </c>
      <c r="F480" s="47" t="s">
        <v>137</v>
      </c>
      <c r="G480" s="42"/>
      <c r="H480" s="42"/>
      <c r="I480" s="44">
        <v>17.4</v>
      </c>
      <c r="J480" s="44">
        <f t="shared" si="310"/>
        <v>17.4</v>
      </c>
      <c r="K480" s="42">
        <v>20000</v>
      </c>
      <c r="L480" s="42">
        <f t="shared" si="316"/>
        <v>348000</v>
      </c>
      <c r="M480" s="42"/>
      <c r="N480" s="42" t="s">
        <v>62</v>
      </c>
      <c r="O480" s="101" t="s">
        <v>446</v>
      </c>
      <c r="P480" s="45">
        <v>2</v>
      </c>
      <c r="Q480" s="100">
        <v>66</v>
      </c>
      <c r="R480" s="100"/>
      <c r="S480" s="42">
        <v>6750</v>
      </c>
      <c r="T480" s="12">
        <f t="shared" si="311"/>
        <v>445500</v>
      </c>
      <c r="U480" s="102" t="s">
        <v>94</v>
      </c>
      <c r="V480" s="12">
        <f>+T480*0.46</f>
        <v>204930</v>
      </c>
      <c r="W480" s="12">
        <f t="shared" si="312"/>
        <v>240570</v>
      </c>
      <c r="X480" s="116"/>
      <c r="Y480" s="117">
        <f t="shared" si="313"/>
        <v>588570</v>
      </c>
      <c r="Z480" s="12"/>
      <c r="AA480" s="12">
        <f t="shared" si="314"/>
        <v>588570</v>
      </c>
      <c r="AB480" s="12">
        <v>0.02</v>
      </c>
      <c r="AC480" s="12">
        <f t="shared" si="315"/>
        <v>117.714</v>
      </c>
      <c r="AD480" s="42"/>
      <c r="AE480" s="12"/>
    </row>
    <row r="481" spans="1:31" s="46" customFormat="1" ht="21">
      <c r="A481" s="42" t="s">
        <v>0</v>
      </c>
      <c r="B481" s="42" t="s">
        <v>1</v>
      </c>
      <c r="C481" s="45" t="s">
        <v>1519</v>
      </c>
      <c r="D481" s="51" t="s">
        <v>392</v>
      </c>
      <c r="E481" s="29" t="s">
        <v>907</v>
      </c>
      <c r="F481" s="47" t="s">
        <v>137</v>
      </c>
      <c r="G481" s="42"/>
      <c r="H481" s="42"/>
      <c r="I481" s="44">
        <v>58.2</v>
      </c>
      <c r="J481" s="44">
        <f t="shared" si="310"/>
        <v>58.2</v>
      </c>
      <c r="K481" s="42">
        <v>20000</v>
      </c>
      <c r="L481" s="42">
        <f t="shared" si="316"/>
        <v>1164000</v>
      </c>
      <c r="M481" s="42"/>
      <c r="N481" s="42" t="s">
        <v>64</v>
      </c>
      <c r="O481" s="101" t="s">
        <v>446</v>
      </c>
      <c r="P481" s="45">
        <v>2</v>
      </c>
      <c r="Q481" s="100">
        <v>112</v>
      </c>
      <c r="R481" s="100"/>
      <c r="S481" s="42">
        <v>6550</v>
      </c>
      <c r="T481" s="12">
        <f t="shared" si="311"/>
        <v>733600</v>
      </c>
      <c r="U481" s="102" t="s">
        <v>85</v>
      </c>
      <c r="V481" s="12">
        <f>+T481*0.22</f>
        <v>161392</v>
      </c>
      <c r="W481" s="12">
        <f t="shared" si="312"/>
        <v>572208</v>
      </c>
      <c r="X481" s="116"/>
      <c r="Y481" s="117">
        <f t="shared" si="313"/>
        <v>1736208</v>
      </c>
      <c r="Z481" s="12">
        <f>+Y481</f>
        <v>1736208</v>
      </c>
      <c r="AA481" s="12">
        <f t="shared" si="314"/>
        <v>0</v>
      </c>
      <c r="AB481" s="12"/>
      <c r="AC481" s="12">
        <f t="shared" si="315"/>
        <v>0</v>
      </c>
      <c r="AD481" s="42" t="s">
        <v>906</v>
      </c>
      <c r="AE481" s="12"/>
    </row>
    <row r="482" spans="1:31" s="46" customFormat="1" ht="21">
      <c r="A482" s="42"/>
      <c r="B482" s="42"/>
      <c r="C482" s="45"/>
      <c r="D482" s="31"/>
      <c r="E482" s="31"/>
      <c r="F482" s="47"/>
      <c r="G482" s="42"/>
      <c r="H482" s="42"/>
      <c r="I482" s="44"/>
      <c r="J482" s="44">
        <f t="shared" si="310"/>
        <v>0</v>
      </c>
      <c r="K482" s="42"/>
      <c r="L482" s="42">
        <f t="shared" si="316"/>
        <v>0</v>
      </c>
      <c r="M482" s="42"/>
      <c r="N482" s="42"/>
      <c r="O482" s="101"/>
      <c r="P482" s="45"/>
      <c r="Q482" s="42"/>
      <c r="R482" s="42"/>
      <c r="S482" s="42"/>
      <c r="T482" s="12">
        <f t="shared" si="311"/>
        <v>0</v>
      </c>
      <c r="U482" s="45"/>
      <c r="V482" s="12">
        <f>+T482*0</f>
        <v>0</v>
      </c>
      <c r="W482" s="12">
        <f t="shared" si="312"/>
        <v>0</v>
      </c>
      <c r="X482" s="12"/>
      <c r="Y482" s="12">
        <f t="shared" si="313"/>
        <v>0</v>
      </c>
      <c r="Z482" s="12"/>
      <c r="AA482" s="12">
        <f t="shared" si="314"/>
        <v>0</v>
      </c>
      <c r="AB482" s="12"/>
      <c r="AC482" s="12">
        <f t="shared" si="315"/>
        <v>0</v>
      </c>
      <c r="AD482" s="42"/>
      <c r="AE482" s="12"/>
    </row>
    <row r="483" spans="1:31" s="46" customFormat="1" ht="21">
      <c r="A483" s="42"/>
      <c r="B483" s="42"/>
      <c r="C483" s="45"/>
      <c r="D483" s="31"/>
      <c r="E483" s="31"/>
      <c r="F483" s="47"/>
      <c r="G483" s="42"/>
      <c r="H483" s="42"/>
      <c r="I483" s="44"/>
      <c r="J483" s="44">
        <f t="shared" si="310"/>
        <v>0</v>
      </c>
      <c r="K483" s="42"/>
      <c r="L483" s="42">
        <f t="shared" si="316"/>
        <v>0</v>
      </c>
      <c r="M483" s="42"/>
      <c r="N483" s="42"/>
      <c r="O483" s="101"/>
      <c r="P483" s="45"/>
      <c r="Q483" s="42"/>
      <c r="R483" s="42"/>
      <c r="S483" s="42"/>
      <c r="T483" s="12">
        <f t="shared" si="311"/>
        <v>0</v>
      </c>
      <c r="U483" s="45"/>
      <c r="V483" s="12">
        <f>+T483*0</f>
        <v>0</v>
      </c>
      <c r="W483" s="12">
        <f t="shared" si="312"/>
        <v>0</v>
      </c>
      <c r="X483" s="12"/>
      <c r="Y483" s="12">
        <f t="shared" si="313"/>
        <v>0</v>
      </c>
      <c r="Z483" s="12"/>
      <c r="AA483" s="12">
        <f t="shared" si="314"/>
        <v>0</v>
      </c>
      <c r="AB483" s="12"/>
      <c r="AC483" s="12">
        <f t="shared" si="315"/>
        <v>0</v>
      </c>
      <c r="AD483" s="42"/>
      <c r="AE483" s="12"/>
    </row>
    <row r="484" spans="1:31" s="46" customFormat="1" ht="21">
      <c r="A484" s="42" t="s">
        <v>0</v>
      </c>
      <c r="B484" s="42" t="s">
        <v>1</v>
      </c>
      <c r="C484" s="45" t="s">
        <v>1520</v>
      </c>
      <c r="D484" s="45" t="s">
        <v>393</v>
      </c>
      <c r="E484" s="29" t="s">
        <v>907</v>
      </c>
      <c r="F484" s="47" t="s">
        <v>137</v>
      </c>
      <c r="G484" s="42"/>
      <c r="H484" s="42"/>
      <c r="I484" s="44">
        <v>23.4</v>
      </c>
      <c r="J484" s="44">
        <f t="shared" si="310"/>
        <v>23.4</v>
      </c>
      <c r="K484" s="42">
        <v>15000</v>
      </c>
      <c r="L484" s="42">
        <f t="shared" si="316"/>
        <v>351000</v>
      </c>
      <c r="M484" s="42"/>
      <c r="N484" s="42" t="s">
        <v>62</v>
      </c>
      <c r="O484" s="101" t="s">
        <v>446</v>
      </c>
      <c r="P484" s="45">
        <v>2</v>
      </c>
      <c r="Q484" s="100">
        <v>104</v>
      </c>
      <c r="R484" s="100"/>
      <c r="S484" s="42">
        <v>6750</v>
      </c>
      <c r="T484" s="12">
        <f t="shared" si="311"/>
        <v>702000</v>
      </c>
      <c r="U484" s="102" t="s">
        <v>92</v>
      </c>
      <c r="V484" s="12">
        <f>+T484*0.42</f>
        <v>294840</v>
      </c>
      <c r="W484" s="12">
        <f t="shared" si="312"/>
        <v>407160</v>
      </c>
      <c r="X484" s="116"/>
      <c r="Y484" s="117">
        <f t="shared" si="313"/>
        <v>758160</v>
      </c>
      <c r="Z484" s="12"/>
      <c r="AA484" s="12">
        <f t="shared" si="314"/>
        <v>758160</v>
      </c>
      <c r="AB484" s="12">
        <v>0.02</v>
      </c>
      <c r="AC484" s="12">
        <f t="shared" si="315"/>
        <v>151.632</v>
      </c>
      <c r="AD484" s="42"/>
      <c r="AE484" s="12"/>
    </row>
    <row r="485" spans="1:31" s="46" customFormat="1" ht="21">
      <c r="A485" s="42"/>
      <c r="B485" s="42"/>
      <c r="C485" s="45"/>
      <c r="D485" s="31"/>
      <c r="E485" s="31"/>
      <c r="F485" s="47"/>
      <c r="G485" s="42"/>
      <c r="H485" s="42"/>
      <c r="I485" s="44"/>
      <c r="J485" s="44">
        <f t="shared" si="310"/>
        <v>0</v>
      </c>
      <c r="K485" s="42"/>
      <c r="L485" s="42">
        <f t="shared" si="316"/>
        <v>0</v>
      </c>
      <c r="M485" s="42"/>
      <c r="N485" s="42"/>
      <c r="O485" s="101"/>
      <c r="P485" s="45"/>
      <c r="Q485" s="42"/>
      <c r="R485" s="42"/>
      <c r="S485" s="42"/>
      <c r="T485" s="12">
        <f t="shared" si="311"/>
        <v>0</v>
      </c>
      <c r="U485" s="45"/>
      <c r="V485" s="12">
        <f>+T485*0</f>
        <v>0</v>
      </c>
      <c r="W485" s="12">
        <f t="shared" si="312"/>
        <v>0</v>
      </c>
      <c r="X485" s="12"/>
      <c r="Y485" s="12">
        <f t="shared" si="313"/>
        <v>0</v>
      </c>
      <c r="Z485" s="12"/>
      <c r="AA485" s="12">
        <f t="shared" si="314"/>
        <v>0</v>
      </c>
      <c r="AB485" s="12"/>
      <c r="AC485" s="12">
        <f t="shared" si="315"/>
        <v>0</v>
      </c>
      <c r="AD485" s="42"/>
      <c r="AE485" s="12"/>
    </row>
    <row r="486" spans="1:31" s="46" customFormat="1" ht="21">
      <c r="A486" s="42"/>
      <c r="B486" s="42"/>
      <c r="C486" s="45"/>
      <c r="D486" s="31"/>
      <c r="E486" s="31"/>
      <c r="F486" s="47"/>
      <c r="G486" s="42"/>
      <c r="H486" s="42"/>
      <c r="I486" s="44"/>
      <c r="J486" s="44">
        <f t="shared" si="310"/>
        <v>0</v>
      </c>
      <c r="K486" s="42"/>
      <c r="L486" s="42">
        <f t="shared" si="316"/>
        <v>0</v>
      </c>
      <c r="M486" s="42"/>
      <c r="N486" s="42"/>
      <c r="O486" s="101"/>
      <c r="P486" s="45"/>
      <c r="Q486" s="42"/>
      <c r="R486" s="42"/>
      <c r="S486" s="42"/>
      <c r="T486" s="12">
        <f t="shared" si="311"/>
        <v>0</v>
      </c>
      <c r="U486" s="45"/>
      <c r="V486" s="12">
        <f>+T486*0</f>
        <v>0</v>
      </c>
      <c r="W486" s="12">
        <f t="shared" si="312"/>
        <v>0</v>
      </c>
      <c r="X486" s="12"/>
      <c r="Y486" s="12">
        <f t="shared" si="313"/>
        <v>0</v>
      </c>
      <c r="Z486" s="12"/>
      <c r="AA486" s="12">
        <f t="shared" si="314"/>
        <v>0</v>
      </c>
      <c r="AB486" s="12"/>
      <c r="AC486" s="12">
        <f t="shared" si="315"/>
        <v>0</v>
      </c>
      <c r="AD486" s="42"/>
      <c r="AE486" s="12"/>
    </row>
    <row r="487" spans="1:31" s="46" customFormat="1" ht="21">
      <c r="A487" s="42" t="s">
        <v>0</v>
      </c>
      <c r="B487" s="42" t="s">
        <v>1</v>
      </c>
      <c r="C487" s="45" t="s">
        <v>1521</v>
      </c>
      <c r="D487" s="51" t="s">
        <v>394</v>
      </c>
      <c r="E487" s="29" t="s">
        <v>907</v>
      </c>
      <c r="F487" s="47" t="s">
        <v>137</v>
      </c>
      <c r="G487" s="42"/>
      <c r="H487" s="42"/>
      <c r="I487" s="44">
        <v>40</v>
      </c>
      <c r="J487" s="44">
        <f t="shared" si="310"/>
        <v>40</v>
      </c>
      <c r="K487" s="42">
        <v>12000</v>
      </c>
      <c r="L487" s="42">
        <f aca="true" t="shared" si="317" ref="L487:L498">+K487*J487</f>
        <v>480000</v>
      </c>
      <c r="M487" s="42"/>
      <c r="N487" s="42" t="s">
        <v>64</v>
      </c>
      <c r="O487" s="101" t="s">
        <v>446</v>
      </c>
      <c r="P487" s="45">
        <v>2</v>
      </c>
      <c r="Q487" s="100">
        <v>112</v>
      </c>
      <c r="R487" s="100"/>
      <c r="S487" s="42">
        <v>6550</v>
      </c>
      <c r="T487" s="12">
        <f t="shared" si="311"/>
        <v>733600</v>
      </c>
      <c r="U487" s="45" t="s">
        <v>337</v>
      </c>
      <c r="V487" s="12">
        <f>+T487*0.06</f>
        <v>44016</v>
      </c>
      <c r="W487" s="12">
        <f t="shared" si="312"/>
        <v>689584</v>
      </c>
      <c r="X487" s="116"/>
      <c r="Y487" s="117">
        <f t="shared" si="313"/>
        <v>1169584</v>
      </c>
      <c r="Z487" s="12"/>
      <c r="AA487" s="12">
        <f t="shared" si="314"/>
        <v>1169584</v>
      </c>
      <c r="AB487" s="12">
        <v>0.02</v>
      </c>
      <c r="AC487" s="12">
        <f t="shared" si="315"/>
        <v>233.9168</v>
      </c>
      <c r="AD487" s="42"/>
      <c r="AE487" s="12"/>
    </row>
    <row r="488" spans="1:31" s="46" customFormat="1" ht="21">
      <c r="A488" s="42"/>
      <c r="B488" s="42"/>
      <c r="C488" s="45"/>
      <c r="D488" s="31"/>
      <c r="E488" s="31"/>
      <c r="F488" s="47"/>
      <c r="G488" s="42"/>
      <c r="H488" s="42"/>
      <c r="I488" s="44"/>
      <c r="J488" s="44">
        <f t="shared" si="310"/>
        <v>0</v>
      </c>
      <c r="K488" s="42"/>
      <c r="L488" s="42">
        <f t="shared" si="317"/>
        <v>0</v>
      </c>
      <c r="M488" s="42"/>
      <c r="N488" s="42"/>
      <c r="O488" s="101"/>
      <c r="P488" s="45"/>
      <c r="Q488" s="42"/>
      <c r="R488" s="42"/>
      <c r="S488" s="42"/>
      <c r="T488" s="12">
        <f t="shared" si="311"/>
        <v>0</v>
      </c>
      <c r="U488" s="45"/>
      <c r="V488" s="12">
        <f>+T488*0</f>
        <v>0</v>
      </c>
      <c r="W488" s="12">
        <f t="shared" si="312"/>
        <v>0</v>
      </c>
      <c r="X488" s="12"/>
      <c r="Y488" s="12">
        <f t="shared" si="313"/>
        <v>0</v>
      </c>
      <c r="Z488" s="12"/>
      <c r="AA488" s="12">
        <f t="shared" si="314"/>
        <v>0</v>
      </c>
      <c r="AB488" s="12"/>
      <c r="AC488" s="12">
        <f t="shared" si="315"/>
        <v>0</v>
      </c>
      <c r="AD488" s="42"/>
      <c r="AE488" s="12"/>
    </row>
    <row r="489" spans="1:31" s="46" customFormat="1" ht="21">
      <c r="A489" s="42"/>
      <c r="B489" s="42"/>
      <c r="C489" s="45"/>
      <c r="D489" s="31"/>
      <c r="E489" s="31"/>
      <c r="F489" s="47"/>
      <c r="G489" s="42"/>
      <c r="H489" s="42"/>
      <c r="I489" s="44"/>
      <c r="J489" s="44">
        <f t="shared" si="310"/>
        <v>0</v>
      </c>
      <c r="K489" s="42"/>
      <c r="L489" s="42">
        <f t="shared" si="317"/>
        <v>0</v>
      </c>
      <c r="M489" s="42"/>
      <c r="N489" s="42"/>
      <c r="O489" s="101"/>
      <c r="P489" s="45"/>
      <c r="Q489" s="42"/>
      <c r="R489" s="42"/>
      <c r="S489" s="42"/>
      <c r="T489" s="12">
        <f t="shared" si="311"/>
        <v>0</v>
      </c>
      <c r="U489" s="45"/>
      <c r="V489" s="12">
        <f>+T489*0</f>
        <v>0</v>
      </c>
      <c r="W489" s="12">
        <f t="shared" si="312"/>
        <v>0</v>
      </c>
      <c r="X489" s="12"/>
      <c r="Y489" s="12">
        <f t="shared" si="313"/>
        <v>0</v>
      </c>
      <c r="Z489" s="12"/>
      <c r="AA489" s="12">
        <f t="shared" si="314"/>
        <v>0</v>
      </c>
      <c r="AB489" s="12"/>
      <c r="AC489" s="12">
        <f t="shared" si="315"/>
        <v>0</v>
      </c>
      <c r="AD489" s="42"/>
      <c r="AE489" s="12"/>
    </row>
    <row r="490" spans="1:31" s="46" customFormat="1" ht="21">
      <c r="A490" s="42" t="s">
        <v>0</v>
      </c>
      <c r="B490" s="42" t="s">
        <v>1</v>
      </c>
      <c r="C490" s="45" t="s">
        <v>1522</v>
      </c>
      <c r="D490" s="45" t="s">
        <v>395</v>
      </c>
      <c r="E490" s="10" t="s">
        <v>909</v>
      </c>
      <c r="F490" s="47" t="s">
        <v>137</v>
      </c>
      <c r="G490" s="42"/>
      <c r="H490" s="42"/>
      <c r="I490" s="44">
        <v>17.5</v>
      </c>
      <c r="J490" s="44">
        <f t="shared" si="310"/>
        <v>17.5</v>
      </c>
      <c r="K490" s="42">
        <v>4000</v>
      </c>
      <c r="L490" s="42">
        <f t="shared" si="317"/>
        <v>70000</v>
      </c>
      <c r="M490" s="42"/>
      <c r="N490" s="42" t="s">
        <v>62</v>
      </c>
      <c r="O490" s="101" t="s">
        <v>446</v>
      </c>
      <c r="P490" s="45">
        <v>2</v>
      </c>
      <c r="Q490" s="100">
        <v>138</v>
      </c>
      <c r="R490" s="100"/>
      <c r="S490" s="42">
        <v>6750</v>
      </c>
      <c r="T490" s="12">
        <f t="shared" si="311"/>
        <v>931500</v>
      </c>
      <c r="U490" s="102" t="s">
        <v>87</v>
      </c>
      <c r="V490" s="12">
        <f>+T490*0.28</f>
        <v>260820.00000000003</v>
      </c>
      <c r="W490" s="12">
        <f t="shared" si="312"/>
        <v>670680</v>
      </c>
      <c r="X490" s="116"/>
      <c r="Y490" s="117">
        <f t="shared" si="313"/>
        <v>740680</v>
      </c>
      <c r="Z490" s="12"/>
      <c r="AA490" s="12">
        <f t="shared" si="314"/>
        <v>740680</v>
      </c>
      <c r="AB490" s="12">
        <v>0.02</v>
      </c>
      <c r="AC490" s="12">
        <f t="shared" si="315"/>
        <v>148.136</v>
      </c>
      <c r="AD490" s="42"/>
      <c r="AE490" s="12"/>
    </row>
    <row r="491" spans="1:31" s="46" customFormat="1" ht="21">
      <c r="A491" s="42"/>
      <c r="B491" s="42"/>
      <c r="C491" s="45"/>
      <c r="D491" s="31"/>
      <c r="E491" s="31"/>
      <c r="F491" s="47"/>
      <c r="G491" s="42"/>
      <c r="H491" s="42"/>
      <c r="I491" s="44"/>
      <c r="J491" s="44">
        <f t="shared" si="310"/>
        <v>0</v>
      </c>
      <c r="K491" s="42"/>
      <c r="L491" s="42">
        <f t="shared" si="317"/>
        <v>0</v>
      </c>
      <c r="M491" s="42"/>
      <c r="N491" s="42"/>
      <c r="O491" s="101"/>
      <c r="P491" s="45"/>
      <c r="Q491" s="42"/>
      <c r="R491" s="42"/>
      <c r="S491" s="42"/>
      <c r="T491" s="12">
        <f t="shared" si="311"/>
        <v>0</v>
      </c>
      <c r="U491" s="45"/>
      <c r="V491" s="12">
        <f>+T491*0</f>
        <v>0</v>
      </c>
      <c r="W491" s="12">
        <f t="shared" si="312"/>
        <v>0</v>
      </c>
      <c r="X491" s="12"/>
      <c r="Y491" s="12">
        <f t="shared" si="313"/>
        <v>0</v>
      </c>
      <c r="Z491" s="12"/>
      <c r="AA491" s="12">
        <f t="shared" si="314"/>
        <v>0</v>
      </c>
      <c r="AB491" s="12"/>
      <c r="AC491" s="12">
        <f t="shared" si="315"/>
        <v>0</v>
      </c>
      <c r="AD491" s="42"/>
      <c r="AE491" s="12"/>
    </row>
    <row r="492" spans="1:31" s="46" customFormat="1" ht="21">
      <c r="A492" s="42"/>
      <c r="B492" s="42"/>
      <c r="C492" s="45"/>
      <c r="D492" s="31"/>
      <c r="E492" s="31"/>
      <c r="F492" s="47"/>
      <c r="G492" s="42"/>
      <c r="H492" s="42"/>
      <c r="I492" s="44"/>
      <c r="J492" s="44">
        <f t="shared" si="310"/>
        <v>0</v>
      </c>
      <c r="K492" s="42"/>
      <c r="L492" s="42">
        <f t="shared" si="317"/>
        <v>0</v>
      </c>
      <c r="M492" s="42"/>
      <c r="N492" s="42"/>
      <c r="O492" s="101"/>
      <c r="P492" s="45"/>
      <c r="Q492" s="42"/>
      <c r="R492" s="42"/>
      <c r="S492" s="42"/>
      <c r="T492" s="12">
        <f t="shared" si="311"/>
        <v>0</v>
      </c>
      <c r="U492" s="45"/>
      <c r="V492" s="12">
        <f>+T492*0</f>
        <v>0</v>
      </c>
      <c r="W492" s="12">
        <f t="shared" si="312"/>
        <v>0</v>
      </c>
      <c r="X492" s="12"/>
      <c r="Y492" s="12">
        <f t="shared" si="313"/>
        <v>0</v>
      </c>
      <c r="Z492" s="12"/>
      <c r="AA492" s="12">
        <f t="shared" si="314"/>
        <v>0</v>
      </c>
      <c r="AB492" s="12"/>
      <c r="AC492" s="12">
        <f t="shared" si="315"/>
        <v>0</v>
      </c>
      <c r="AD492" s="42"/>
      <c r="AE492" s="12"/>
    </row>
    <row r="493" spans="1:31" s="46" customFormat="1" ht="21">
      <c r="A493" s="42" t="s">
        <v>0</v>
      </c>
      <c r="B493" s="42" t="s">
        <v>1</v>
      </c>
      <c r="C493" s="45" t="s">
        <v>1523</v>
      </c>
      <c r="D493" s="45" t="s">
        <v>396</v>
      </c>
      <c r="E493" s="29" t="s">
        <v>907</v>
      </c>
      <c r="F493" s="47" t="s">
        <v>140</v>
      </c>
      <c r="G493" s="42"/>
      <c r="H493" s="42">
        <v>1</v>
      </c>
      <c r="I493" s="44">
        <v>84.3</v>
      </c>
      <c r="J493" s="44">
        <f t="shared" si="310"/>
        <v>184.3</v>
      </c>
      <c r="K493" s="42">
        <v>15000</v>
      </c>
      <c r="L493" s="42">
        <f t="shared" si="317"/>
        <v>2764500</v>
      </c>
      <c r="M493" s="42"/>
      <c r="N493" s="42"/>
      <c r="O493" s="101"/>
      <c r="P493" s="45"/>
      <c r="Q493" s="42"/>
      <c r="R493" s="100"/>
      <c r="S493" s="42"/>
      <c r="T493" s="12">
        <f t="shared" si="311"/>
        <v>0</v>
      </c>
      <c r="U493" s="45"/>
      <c r="V493" s="12">
        <f>+T493*0</f>
        <v>0</v>
      </c>
      <c r="W493" s="12">
        <f t="shared" si="312"/>
        <v>0</v>
      </c>
      <c r="X493" s="116"/>
      <c r="Y493" s="117">
        <f t="shared" si="313"/>
        <v>2764500</v>
      </c>
      <c r="Z493" s="12"/>
      <c r="AA493" s="12">
        <f t="shared" si="314"/>
        <v>2764500</v>
      </c>
      <c r="AB493" s="12">
        <v>0.3</v>
      </c>
      <c r="AC493" s="12">
        <f t="shared" si="315"/>
        <v>8293.5</v>
      </c>
      <c r="AD493" s="42"/>
      <c r="AE493" s="12"/>
    </row>
    <row r="494" spans="1:31" s="46" customFormat="1" ht="21">
      <c r="A494" s="42"/>
      <c r="B494" s="42"/>
      <c r="C494" s="45"/>
      <c r="D494" s="31"/>
      <c r="E494" s="31"/>
      <c r="F494" s="47"/>
      <c r="G494" s="42"/>
      <c r="H494" s="42"/>
      <c r="I494" s="44"/>
      <c r="J494" s="44">
        <f t="shared" si="310"/>
        <v>0</v>
      </c>
      <c r="K494" s="42"/>
      <c r="L494" s="42">
        <f t="shared" si="317"/>
        <v>0</v>
      </c>
      <c r="M494" s="42"/>
      <c r="N494" s="42"/>
      <c r="O494" s="101"/>
      <c r="P494" s="45"/>
      <c r="Q494" s="42"/>
      <c r="R494" s="42"/>
      <c r="S494" s="42"/>
      <c r="T494" s="12">
        <f t="shared" si="311"/>
        <v>0</v>
      </c>
      <c r="U494" s="45"/>
      <c r="V494" s="12">
        <f>+T494*0</f>
        <v>0</v>
      </c>
      <c r="W494" s="12">
        <f t="shared" si="312"/>
        <v>0</v>
      </c>
      <c r="X494" s="12"/>
      <c r="Y494" s="12">
        <f t="shared" si="313"/>
        <v>0</v>
      </c>
      <c r="Z494" s="12"/>
      <c r="AA494" s="12">
        <f t="shared" si="314"/>
        <v>0</v>
      </c>
      <c r="AB494" s="12"/>
      <c r="AC494" s="12">
        <f t="shared" si="315"/>
        <v>0</v>
      </c>
      <c r="AD494" s="42"/>
      <c r="AE494" s="12"/>
    </row>
    <row r="495" spans="1:31" s="46" customFormat="1" ht="21">
      <c r="A495" s="42"/>
      <c r="B495" s="42"/>
      <c r="C495" s="45"/>
      <c r="D495" s="31"/>
      <c r="E495" s="31"/>
      <c r="F495" s="47"/>
      <c r="G495" s="42"/>
      <c r="H495" s="42"/>
      <c r="I495" s="44"/>
      <c r="J495" s="44">
        <f t="shared" si="310"/>
        <v>0</v>
      </c>
      <c r="K495" s="42"/>
      <c r="L495" s="42">
        <f t="shared" si="317"/>
        <v>0</v>
      </c>
      <c r="M495" s="42"/>
      <c r="N495" s="42"/>
      <c r="O495" s="101"/>
      <c r="P495" s="45"/>
      <c r="Q495" s="42"/>
      <c r="R495" s="42"/>
      <c r="S495" s="42"/>
      <c r="T495" s="12">
        <f t="shared" si="311"/>
        <v>0</v>
      </c>
      <c r="U495" s="45"/>
      <c r="V495" s="12">
        <f>+T495*0</f>
        <v>0</v>
      </c>
      <c r="W495" s="12">
        <f t="shared" si="312"/>
        <v>0</v>
      </c>
      <c r="X495" s="12"/>
      <c r="Y495" s="12">
        <f t="shared" si="313"/>
        <v>0</v>
      </c>
      <c r="Z495" s="12"/>
      <c r="AA495" s="12">
        <f t="shared" si="314"/>
        <v>0</v>
      </c>
      <c r="AB495" s="12"/>
      <c r="AC495" s="12">
        <f t="shared" si="315"/>
        <v>0</v>
      </c>
      <c r="AD495" s="42"/>
      <c r="AE495" s="12"/>
    </row>
    <row r="496" spans="1:31" s="46" customFormat="1" ht="21">
      <c r="A496" s="42" t="s">
        <v>0</v>
      </c>
      <c r="B496" s="42" t="s">
        <v>1</v>
      </c>
      <c r="C496" s="45" t="s">
        <v>1524</v>
      </c>
      <c r="D496" s="45" t="s">
        <v>397</v>
      </c>
      <c r="E496" s="29" t="s">
        <v>907</v>
      </c>
      <c r="F496" s="47" t="s">
        <v>137</v>
      </c>
      <c r="G496" s="42"/>
      <c r="H496" s="42"/>
      <c r="I496" s="44">
        <v>12.3</v>
      </c>
      <c r="J496" s="44">
        <f t="shared" si="310"/>
        <v>12.3</v>
      </c>
      <c r="K496" s="42">
        <v>12000</v>
      </c>
      <c r="L496" s="42">
        <f t="shared" si="317"/>
        <v>147600</v>
      </c>
      <c r="M496" s="42"/>
      <c r="N496" s="42" t="s">
        <v>60</v>
      </c>
      <c r="O496" s="101" t="s">
        <v>446</v>
      </c>
      <c r="P496" s="45">
        <v>2</v>
      </c>
      <c r="Q496" s="100">
        <v>96</v>
      </c>
      <c r="R496" s="100"/>
      <c r="S496" s="42">
        <v>7550</v>
      </c>
      <c r="T496" s="12">
        <f t="shared" si="311"/>
        <v>724800</v>
      </c>
      <c r="U496" s="102" t="s">
        <v>92</v>
      </c>
      <c r="V496" s="12">
        <f>+T496*0.42</f>
        <v>304416</v>
      </c>
      <c r="W496" s="12">
        <f t="shared" si="312"/>
        <v>420384</v>
      </c>
      <c r="X496" s="116"/>
      <c r="Y496" s="117">
        <f t="shared" si="313"/>
        <v>567984</v>
      </c>
      <c r="Z496" s="12"/>
      <c r="AA496" s="12">
        <f t="shared" si="314"/>
        <v>567984</v>
      </c>
      <c r="AB496" s="12">
        <v>0.02</v>
      </c>
      <c r="AC496" s="12">
        <f t="shared" si="315"/>
        <v>113.5968</v>
      </c>
      <c r="AD496" s="42"/>
      <c r="AE496" s="12"/>
    </row>
    <row r="497" spans="1:31" s="46" customFormat="1" ht="21">
      <c r="A497" s="42"/>
      <c r="B497" s="42"/>
      <c r="C497" s="45"/>
      <c r="D497" s="31"/>
      <c r="E497" s="31"/>
      <c r="F497" s="47"/>
      <c r="G497" s="42"/>
      <c r="H497" s="42"/>
      <c r="I497" s="44"/>
      <c r="J497" s="44">
        <f t="shared" si="310"/>
        <v>0</v>
      </c>
      <c r="K497" s="42"/>
      <c r="L497" s="42">
        <f t="shared" si="317"/>
        <v>0</v>
      </c>
      <c r="M497" s="42"/>
      <c r="N497" s="42"/>
      <c r="O497" s="101"/>
      <c r="P497" s="45"/>
      <c r="Q497" s="42"/>
      <c r="R497" s="42"/>
      <c r="S497" s="42"/>
      <c r="T497" s="12">
        <f t="shared" si="311"/>
        <v>0</v>
      </c>
      <c r="U497" s="45"/>
      <c r="V497" s="12">
        <f>+T497*0</f>
        <v>0</v>
      </c>
      <c r="W497" s="12">
        <f t="shared" si="312"/>
        <v>0</v>
      </c>
      <c r="X497" s="12"/>
      <c r="Y497" s="12">
        <f t="shared" si="313"/>
        <v>0</v>
      </c>
      <c r="Z497" s="12"/>
      <c r="AA497" s="12">
        <f t="shared" si="314"/>
        <v>0</v>
      </c>
      <c r="AB497" s="12"/>
      <c r="AC497" s="12">
        <f t="shared" si="315"/>
        <v>0</v>
      </c>
      <c r="AD497" s="42"/>
      <c r="AE497" s="12"/>
    </row>
    <row r="498" spans="1:31" s="46" customFormat="1" ht="21">
      <c r="A498" s="42"/>
      <c r="B498" s="42"/>
      <c r="C498" s="45"/>
      <c r="D498" s="31"/>
      <c r="E498" s="31"/>
      <c r="F498" s="47"/>
      <c r="G498" s="42"/>
      <c r="H498" s="42"/>
      <c r="I498" s="44"/>
      <c r="J498" s="44">
        <f t="shared" si="310"/>
        <v>0</v>
      </c>
      <c r="K498" s="42"/>
      <c r="L498" s="42">
        <f t="shared" si="317"/>
        <v>0</v>
      </c>
      <c r="M498" s="42"/>
      <c r="N498" s="42"/>
      <c r="O498" s="101"/>
      <c r="P498" s="45"/>
      <c r="Q498" s="42"/>
      <c r="R498" s="42"/>
      <c r="S498" s="42"/>
      <c r="T498" s="12">
        <f t="shared" si="311"/>
        <v>0</v>
      </c>
      <c r="U498" s="45"/>
      <c r="V498" s="12">
        <f>+T498*0</f>
        <v>0</v>
      </c>
      <c r="W498" s="12">
        <f t="shared" si="312"/>
        <v>0</v>
      </c>
      <c r="X498" s="12"/>
      <c r="Y498" s="12">
        <f t="shared" si="313"/>
        <v>0</v>
      </c>
      <c r="Z498" s="12"/>
      <c r="AA498" s="12">
        <f t="shared" si="314"/>
        <v>0</v>
      </c>
      <c r="AB498" s="12"/>
      <c r="AC498" s="12">
        <f t="shared" si="315"/>
        <v>0</v>
      </c>
      <c r="AD498" s="42"/>
      <c r="AE498" s="12"/>
    </row>
    <row r="499" spans="1:31" s="46" customFormat="1" ht="21">
      <c r="A499" s="42" t="s">
        <v>0</v>
      </c>
      <c r="B499" s="42" t="s">
        <v>1</v>
      </c>
      <c r="C499" s="45" t="s">
        <v>1525</v>
      </c>
      <c r="D499" s="45" t="s">
        <v>398</v>
      </c>
      <c r="E499" s="10" t="s">
        <v>909</v>
      </c>
      <c r="F499" s="47" t="s">
        <v>137</v>
      </c>
      <c r="G499" s="42"/>
      <c r="H499" s="42"/>
      <c r="I499" s="44">
        <v>15.6</v>
      </c>
      <c r="J499" s="44">
        <f t="shared" si="310"/>
        <v>15.6</v>
      </c>
      <c r="K499" s="42">
        <v>30000</v>
      </c>
      <c r="L499" s="42">
        <f aca="true" t="shared" si="318" ref="L499:L514">+K499*J499</f>
        <v>468000</v>
      </c>
      <c r="M499" s="42"/>
      <c r="N499" s="42" t="s">
        <v>60</v>
      </c>
      <c r="O499" s="101" t="s">
        <v>446</v>
      </c>
      <c r="P499" s="45">
        <v>2</v>
      </c>
      <c r="Q499" s="100">
        <v>96</v>
      </c>
      <c r="R499" s="100"/>
      <c r="S499" s="42">
        <v>7550</v>
      </c>
      <c r="T499" s="12">
        <f t="shared" si="311"/>
        <v>724800</v>
      </c>
      <c r="U499" s="102" t="s">
        <v>86</v>
      </c>
      <c r="V499" s="12">
        <f>+T499*0.26</f>
        <v>188448</v>
      </c>
      <c r="W499" s="12">
        <f t="shared" si="312"/>
        <v>536352</v>
      </c>
      <c r="X499" s="116"/>
      <c r="Y499" s="117">
        <f t="shared" si="313"/>
        <v>1004352</v>
      </c>
      <c r="Z499" s="12"/>
      <c r="AA499" s="12">
        <f t="shared" si="314"/>
        <v>1004352</v>
      </c>
      <c r="AB499" s="12">
        <v>0.02</v>
      </c>
      <c r="AC499" s="12">
        <f t="shared" si="315"/>
        <v>200.87040000000002</v>
      </c>
      <c r="AD499" s="42"/>
      <c r="AE499" s="12"/>
    </row>
    <row r="500" spans="1:31" s="46" customFormat="1" ht="21">
      <c r="A500" s="42"/>
      <c r="B500" s="42"/>
      <c r="C500" s="45"/>
      <c r="D500" s="31"/>
      <c r="E500" s="31"/>
      <c r="F500" s="47"/>
      <c r="G500" s="42"/>
      <c r="H500" s="42"/>
      <c r="I500" s="44"/>
      <c r="J500" s="44">
        <f t="shared" si="310"/>
        <v>0</v>
      </c>
      <c r="K500" s="42"/>
      <c r="L500" s="42">
        <f t="shared" si="318"/>
        <v>0</v>
      </c>
      <c r="M500" s="42"/>
      <c r="N500" s="42"/>
      <c r="O500" s="101"/>
      <c r="P500" s="45"/>
      <c r="Q500" s="42"/>
      <c r="R500" s="42"/>
      <c r="S500" s="42"/>
      <c r="T500" s="12">
        <f t="shared" si="311"/>
        <v>0</v>
      </c>
      <c r="U500" s="45"/>
      <c r="V500" s="12">
        <f>+T500*0</f>
        <v>0</v>
      </c>
      <c r="W500" s="12">
        <f t="shared" si="312"/>
        <v>0</v>
      </c>
      <c r="X500" s="12"/>
      <c r="Y500" s="12">
        <f t="shared" si="313"/>
        <v>0</v>
      </c>
      <c r="Z500" s="12"/>
      <c r="AA500" s="12">
        <f t="shared" si="314"/>
        <v>0</v>
      </c>
      <c r="AB500" s="12"/>
      <c r="AC500" s="12">
        <f t="shared" si="315"/>
        <v>0</v>
      </c>
      <c r="AD500" s="42"/>
      <c r="AE500" s="12"/>
    </row>
    <row r="501" spans="1:31" s="46" customFormat="1" ht="21">
      <c r="A501" s="42"/>
      <c r="B501" s="42"/>
      <c r="C501" s="45"/>
      <c r="D501" s="31"/>
      <c r="E501" s="31"/>
      <c r="F501" s="47"/>
      <c r="G501" s="42"/>
      <c r="H501" s="42"/>
      <c r="I501" s="44"/>
      <c r="J501" s="44">
        <f t="shared" si="310"/>
        <v>0</v>
      </c>
      <c r="K501" s="42"/>
      <c r="L501" s="42">
        <f t="shared" si="318"/>
        <v>0</v>
      </c>
      <c r="M501" s="42"/>
      <c r="N501" s="42"/>
      <c r="O501" s="101"/>
      <c r="P501" s="45"/>
      <c r="Q501" s="42"/>
      <c r="R501" s="42"/>
      <c r="S501" s="42"/>
      <c r="T501" s="12">
        <f t="shared" si="311"/>
        <v>0</v>
      </c>
      <c r="U501" s="45"/>
      <c r="V501" s="12">
        <f>+T501*0</f>
        <v>0</v>
      </c>
      <c r="W501" s="12">
        <f t="shared" si="312"/>
        <v>0</v>
      </c>
      <c r="X501" s="12"/>
      <c r="Y501" s="12">
        <f t="shared" si="313"/>
        <v>0</v>
      </c>
      <c r="Z501" s="12"/>
      <c r="AA501" s="12">
        <f t="shared" si="314"/>
        <v>0</v>
      </c>
      <c r="AB501" s="12"/>
      <c r="AC501" s="12">
        <f t="shared" si="315"/>
        <v>0</v>
      </c>
      <c r="AD501" s="42"/>
      <c r="AE501" s="12"/>
    </row>
    <row r="502" spans="1:31" s="46" customFormat="1" ht="21">
      <c r="A502" s="42" t="s">
        <v>0</v>
      </c>
      <c r="B502" s="42" t="s">
        <v>1</v>
      </c>
      <c r="C502" s="45" t="s">
        <v>1526</v>
      </c>
      <c r="D502" s="45" t="s">
        <v>399</v>
      </c>
      <c r="E502" s="29" t="s">
        <v>907</v>
      </c>
      <c r="F502" s="47" t="s">
        <v>137</v>
      </c>
      <c r="G502" s="42"/>
      <c r="H502" s="42"/>
      <c r="I502" s="44">
        <v>20.6</v>
      </c>
      <c r="J502" s="44">
        <f t="shared" si="310"/>
        <v>20.6</v>
      </c>
      <c r="K502" s="42">
        <v>10000</v>
      </c>
      <c r="L502" s="42">
        <f t="shared" si="318"/>
        <v>206000</v>
      </c>
      <c r="M502" s="42"/>
      <c r="N502" s="42" t="s">
        <v>60</v>
      </c>
      <c r="O502" s="101" t="s">
        <v>446</v>
      </c>
      <c r="P502" s="45">
        <v>2</v>
      </c>
      <c r="Q502" s="100">
        <v>128</v>
      </c>
      <c r="R502" s="100"/>
      <c r="S502" s="42">
        <v>7550</v>
      </c>
      <c r="T502" s="12">
        <f t="shared" si="311"/>
        <v>966400</v>
      </c>
      <c r="U502" s="102" t="s">
        <v>91</v>
      </c>
      <c r="V502" s="12">
        <f>+T502*0.4</f>
        <v>386560</v>
      </c>
      <c r="W502" s="12">
        <f t="shared" si="312"/>
        <v>579840</v>
      </c>
      <c r="X502" s="116"/>
      <c r="Y502" s="117">
        <f t="shared" si="313"/>
        <v>785840</v>
      </c>
      <c r="Z502" s="12">
        <f>+Y502</f>
        <v>785840</v>
      </c>
      <c r="AA502" s="12">
        <f t="shared" si="314"/>
        <v>0</v>
      </c>
      <c r="AB502" s="12"/>
      <c r="AC502" s="12">
        <f t="shared" si="315"/>
        <v>0</v>
      </c>
      <c r="AD502" s="42" t="s">
        <v>906</v>
      </c>
      <c r="AE502" s="50"/>
    </row>
    <row r="503" spans="1:31" s="46" customFormat="1" ht="21">
      <c r="A503" s="42"/>
      <c r="B503" s="42"/>
      <c r="C503" s="45"/>
      <c r="D503" s="31"/>
      <c r="E503" s="31"/>
      <c r="F503" s="47"/>
      <c r="G503" s="42"/>
      <c r="H503" s="42"/>
      <c r="I503" s="44"/>
      <c r="J503" s="44">
        <f t="shared" si="310"/>
        <v>0</v>
      </c>
      <c r="K503" s="42"/>
      <c r="L503" s="42">
        <f t="shared" si="318"/>
        <v>0</v>
      </c>
      <c r="M503" s="42"/>
      <c r="N503" s="42"/>
      <c r="O503" s="101"/>
      <c r="P503" s="45"/>
      <c r="Q503" s="42"/>
      <c r="R503" s="42"/>
      <c r="S503" s="42"/>
      <c r="T503" s="12">
        <f t="shared" si="311"/>
        <v>0</v>
      </c>
      <c r="U503" s="45"/>
      <c r="V503" s="12">
        <f>+T503*0</f>
        <v>0</v>
      </c>
      <c r="W503" s="12">
        <f t="shared" si="312"/>
        <v>0</v>
      </c>
      <c r="X503" s="12"/>
      <c r="Y503" s="12">
        <f t="shared" si="313"/>
        <v>0</v>
      </c>
      <c r="Z503" s="12"/>
      <c r="AA503" s="12">
        <f t="shared" si="314"/>
        <v>0</v>
      </c>
      <c r="AB503" s="12"/>
      <c r="AC503" s="12">
        <f t="shared" si="315"/>
        <v>0</v>
      </c>
      <c r="AD503" s="42"/>
      <c r="AE503" s="12"/>
    </row>
    <row r="504" spans="1:31" s="46" customFormat="1" ht="21">
      <c r="A504" s="42"/>
      <c r="B504" s="42"/>
      <c r="C504" s="45"/>
      <c r="D504" s="31"/>
      <c r="E504" s="31"/>
      <c r="F504" s="47"/>
      <c r="G504" s="42"/>
      <c r="H504" s="42"/>
      <c r="I504" s="44"/>
      <c r="J504" s="44">
        <f t="shared" si="310"/>
        <v>0</v>
      </c>
      <c r="K504" s="42"/>
      <c r="L504" s="42">
        <f t="shared" si="318"/>
        <v>0</v>
      </c>
      <c r="M504" s="42"/>
      <c r="N504" s="42"/>
      <c r="O504" s="101"/>
      <c r="P504" s="45"/>
      <c r="Q504" s="42"/>
      <c r="R504" s="42"/>
      <c r="S504" s="42"/>
      <c r="T504" s="12">
        <f t="shared" si="311"/>
        <v>0</v>
      </c>
      <c r="U504" s="45"/>
      <c r="V504" s="12">
        <f>+T504*0</f>
        <v>0</v>
      </c>
      <c r="W504" s="12">
        <f t="shared" si="312"/>
        <v>0</v>
      </c>
      <c r="X504" s="12"/>
      <c r="Y504" s="12">
        <f t="shared" si="313"/>
        <v>0</v>
      </c>
      <c r="Z504" s="12"/>
      <c r="AA504" s="12">
        <f t="shared" si="314"/>
        <v>0</v>
      </c>
      <c r="AB504" s="12"/>
      <c r="AC504" s="12">
        <f t="shared" si="315"/>
        <v>0</v>
      </c>
      <c r="AD504" s="42"/>
      <c r="AE504" s="12"/>
    </row>
    <row r="505" spans="1:31" s="46" customFormat="1" ht="21">
      <c r="A505" s="42" t="s">
        <v>0</v>
      </c>
      <c r="B505" s="42" t="s">
        <v>1</v>
      </c>
      <c r="C505" s="45" t="s">
        <v>1527</v>
      </c>
      <c r="D505" s="45" t="s">
        <v>400</v>
      </c>
      <c r="E505" s="29" t="s">
        <v>907</v>
      </c>
      <c r="F505" s="47" t="s">
        <v>137</v>
      </c>
      <c r="G505" s="42"/>
      <c r="H505" s="42"/>
      <c r="I505" s="44">
        <v>18.5</v>
      </c>
      <c r="J505" s="44">
        <f t="shared" si="310"/>
        <v>18.5</v>
      </c>
      <c r="K505" s="42">
        <v>10000</v>
      </c>
      <c r="L505" s="42">
        <f t="shared" si="318"/>
        <v>185000</v>
      </c>
      <c r="M505" s="42"/>
      <c r="N505" s="42" t="s">
        <v>62</v>
      </c>
      <c r="O505" s="101" t="s">
        <v>446</v>
      </c>
      <c r="P505" s="45">
        <v>2</v>
      </c>
      <c r="Q505" s="100">
        <v>52</v>
      </c>
      <c r="R505" s="100"/>
      <c r="S505" s="42">
        <v>6750</v>
      </c>
      <c r="T505" s="12">
        <f t="shared" si="311"/>
        <v>351000</v>
      </c>
      <c r="U505" s="102" t="s">
        <v>74</v>
      </c>
      <c r="V505" s="12">
        <f>+T505*0.36</f>
        <v>126360</v>
      </c>
      <c r="W505" s="12">
        <f t="shared" si="312"/>
        <v>224640</v>
      </c>
      <c r="X505" s="116"/>
      <c r="Y505" s="117">
        <f t="shared" si="313"/>
        <v>409640</v>
      </c>
      <c r="Z505" s="12"/>
      <c r="AA505" s="12">
        <f t="shared" si="314"/>
        <v>409640</v>
      </c>
      <c r="AB505" s="12">
        <v>0.02</v>
      </c>
      <c r="AC505" s="12">
        <f t="shared" si="315"/>
        <v>81.928</v>
      </c>
      <c r="AD505" s="42"/>
      <c r="AE505" s="12"/>
    </row>
    <row r="506" spans="1:31" s="46" customFormat="1" ht="21">
      <c r="A506" s="42"/>
      <c r="B506" s="42"/>
      <c r="C506" s="45"/>
      <c r="D506" s="31"/>
      <c r="E506" s="31"/>
      <c r="F506" s="47"/>
      <c r="G506" s="42"/>
      <c r="H506" s="42"/>
      <c r="I506" s="44"/>
      <c r="J506" s="44">
        <f t="shared" si="310"/>
        <v>0</v>
      </c>
      <c r="K506" s="42"/>
      <c r="L506" s="42">
        <f t="shared" si="318"/>
        <v>0</v>
      </c>
      <c r="M506" s="42"/>
      <c r="N506" s="42"/>
      <c r="O506" s="101"/>
      <c r="P506" s="45"/>
      <c r="Q506" s="42"/>
      <c r="R506" s="42"/>
      <c r="S506" s="42"/>
      <c r="T506" s="12">
        <f t="shared" si="311"/>
        <v>0</v>
      </c>
      <c r="U506" s="45"/>
      <c r="V506" s="12">
        <f>+T506*0</f>
        <v>0</v>
      </c>
      <c r="W506" s="12">
        <f t="shared" si="312"/>
        <v>0</v>
      </c>
      <c r="X506" s="12"/>
      <c r="Y506" s="12">
        <f t="shared" si="313"/>
        <v>0</v>
      </c>
      <c r="Z506" s="12"/>
      <c r="AA506" s="12">
        <f t="shared" si="314"/>
        <v>0</v>
      </c>
      <c r="AB506" s="12"/>
      <c r="AC506" s="12">
        <f t="shared" si="315"/>
        <v>0</v>
      </c>
      <c r="AD506" s="42"/>
      <c r="AE506" s="12"/>
    </row>
    <row r="507" spans="1:31" s="46" customFormat="1" ht="21">
      <c r="A507" s="42"/>
      <c r="B507" s="42"/>
      <c r="C507" s="45"/>
      <c r="D507" s="31"/>
      <c r="E507" s="31"/>
      <c r="F507" s="47"/>
      <c r="G507" s="42"/>
      <c r="H507" s="42"/>
      <c r="I507" s="44"/>
      <c r="J507" s="44">
        <f t="shared" si="310"/>
        <v>0</v>
      </c>
      <c r="K507" s="42"/>
      <c r="L507" s="42">
        <f t="shared" si="318"/>
        <v>0</v>
      </c>
      <c r="M507" s="42"/>
      <c r="N507" s="42"/>
      <c r="O507" s="101"/>
      <c r="P507" s="45"/>
      <c r="Q507" s="42"/>
      <c r="R507" s="42"/>
      <c r="S507" s="42"/>
      <c r="T507" s="12">
        <f t="shared" si="311"/>
        <v>0</v>
      </c>
      <c r="U507" s="45"/>
      <c r="V507" s="12">
        <f>+T507*0</f>
        <v>0</v>
      </c>
      <c r="W507" s="12">
        <f t="shared" si="312"/>
        <v>0</v>
      </c>
      <c r="X507" s="12"/>
      <c r="Y507" s="12">
        <f t="shared" si="313"/>
        <v>0</v>
      </c>
      <c r="Z507" s="12"/>
      <c r="AA507" s="12">
        <f t="shared" si="314"/>
        <v>0</v>
      </c>
      <c r="AB507" s="12"/>
      <c r="AC507" s="12">
        <f t="shared" si="315"/>
        <v>0</v>
      </c>
      <c r="AD507" s="42"/>
      <c r="AE507" s="12"/>
    </row>
    <row r="508" spans="1:31" s="46" customFormat="1" ht="21">
      <c r="A508" s="42" t="s">
        <v>0</v>
      </c>
      <c r="B508" s="42" t="s">
        <v>1</v>
      </c>
      <c r="C508" s="45" t="s">
        <v>1528</v>
      </c>
      <c r="D508" s="45" t="s">
        <v>401</v>
      </c>
      <c r="E508" s="29" t="s">
        <v>907</v>
      </c>
      <c r="F508" s="47" t="s">
        <v>143</v>
      </c>
      <c r="G508" s="42"/>
      <c r="H508" s="42"/>
      <c r="I508" s="44">
        <v>60.6</v>
      </c>
      <c r="J508" s="44">
        <f aca="true" t="shared" si="319" ref="J508:J514">+I508+(H508*100)+(G508*400)</f>
        <v>60.6</v>
      </c>
      <c r="K508" s="42">
        <v>20000</v>
      </c>
      <c r="L508" s="42">
        <f t="shared" si="318"/>
        <v>1212000</v>
      </c>
      <c r="M508" s="42"/>
      <c r="N508" s="42" t="s">
        <v>64</v>
      </c>
      <c r="O508" s="101" t="s">
        <v>446</v>
      </c>
      <c r="P508" s="45">
        <v>3</v>
      </c>
      <c r="Q508" s="100">
        <v>56</v>
      </c>
      <c r="R508" s="100"/>
      <c r="S508" s="42">
        <v>6550</v>
      </c>
      <c r="T508" s="12">
        <f aca="true" t="shared" si="320" ref="T508:T514">+Q508*S508</f>
        <v>366800</v>
      </c>
      <c r="U508" s="102" t="s">
        <v>85</v>
      </c>
      <c r="V508" s="12">
        <f>+T508*0.22</f>
        <v>80696</v>
      </c>
      <c r="W508" s="12">
        <f aca="true" t="shared" si="321" ref="W508:W514">+T508-V508</f>
        <v>286104</v>
      </c>
      <c r="X508" s="116"/>
      <c r="Y508" s="117">
        <f t="shared" si="313"/>
        <v>1498104</v>
      </c>
      <c r="Z508" s="12"/>
      <c r="AA508" s="12">
        <f aca="true" t="shared" si="322" ref="AA508:AA514">+Y508-Z508</f>
        <v>1498104</v>
      </c>
      <c r="AB508" s="12">
        <v>0.3</v>
      </c>
      <c r="AC508" s="12">
        <f aca="true" t="shared" si="323" ref="AC508:AC514">+AA508*AB508/100</f>
        <v>4494.312</v>
      </c>
      <c r="AD508" s="42"/>
      <c r="AE508" s="12"/>
    </row>
    <row r="509" spans="1:31" s="46" customFormat="1" ht="21">
      <c r="A509" s="42"/>
      <c r="B509" s="42"/>
      <c r="C509" s="45"/>
      <c r="D509" s="31"/>
      <c r="E509" s="31"/>
      <c r="F509" s="47"/>
      <c r="G509" s="42"/>
      <c r="H509" s="42"/>
      <c r="I509" s="44"/>
      <c r="J509" s="44">
        <f t="shared" si="319"/>
        <v>0</v>
      </c>
      <c r="K509" s="42"/>
      <c r="L509" s="42">
        <f t="shared" si="318"/>
        <v>0</v>
      </c>
      <c r="M509" s="42"/>
      <c r="N509" s="42"/>
      <c r="O509" s="101"/>
      <c r="P509" s="45"/>
      <c r="Q509" s="42"/>
      <c r="R509" s="42"/>
      <c r="S509" s="42"/>
      <c r="T509" s="12">
        <f t="shared" si="320"/>
        <v>0</v>
      </c>
      <c r="U509" s="45"/>
      <c r="V509" s="12">
        <f aca="true" t="shared" si="324" ref="V509:V514">+T509*0</f>
        <v>0</v>
      </c>
      <c r="W509" s="12">
        <f t="shared" si="321"/>
        <v>0</v>
      </c>
      <c r="X509" s="12"/>
      <c r="Y509" s="12">
        <f t="shared" si="313"/>
        <v>0</v>
      </c>
      <c r="Z509" s="12"/>
      <c r="AA509" s="12">
        <f t="shared" si="322"/>
        <v>0</v>
      </c>
      <c r="AB509" s="12"/>
      <c r="AC509" s="12">
        <f t="shared" si="323"/>
        <v>0</v>
      </c>
      <c r="AD509" s="42"/>
      <c r="AE509" s="12"/>
    </row>
    <row r="510" spans="1:31" s="46" customFormat="1" ht="21">
      <c r="A510" s="42"/>
      <c r="B510" s="42"/>
      <c r="C510" s="45"/>
      <c r="D510" s="31"/>
      <c r="E510" s="31"/>
      <c r="F510" s="47"/>
      <c r="G510" s="42"/>
      <c r="H510" s="42"/>
      <c r="I510" s="44"/>
      <c r="J510" s="44">
        <f t="shared" si="319"/>
        <v>0</v>
      </c>
      <c r="K510" s="42"/>
      <c r="L510" s="42">
        <f t="shared" si="318"/>
        <v>0</v>
      </c>
      <c r="M510" s="42"/>
      <c r="N510" s="42"/>
      <c r="O510" s="101"/>
      <c r="P510" s="45"/>
      <c r="Q510" s="42"/>
      <c r="R510" s="42"/>
      <c r="S510" s="42"/>
      <c r="T510" s="12">
        <f t="shared" si="320"/>
        <v>0</v>
      </c>
      <c r="U510" s="45"/>
      <c r="V510" s="12">
        <f t="shared" si="324"/>
        <v>0</v>
      </c>
      <c r="W510" s="12">
        <f t="shared" si="321"/>
        <v>0</v>
      </c>
      <c r="X510" s="12"/>
      <c r="Y510" s="12">
        <f t="shared" si="313"/>
        <v>0</v>
      </c>
      <c r="Z510" s="12"/>
      <c r="AA510" s="12">
        <f t="shared" si="322"/>
        <v>0</v>
      </c>
      <c r="AB510" s="12"/>
      <c r="AC510" s="12">
        <f t="shared" si="323"/>
        <v>0</v>
      </c>
      <c r="AD510" s="42"/>
      <c r="AE510" s="12"/>
    </row>
    <row r="511" spans="1:31" s="46" customFormat="1" ht="21">
      <c r="A511" s="42" t="s">
        <v>0</v>
      </c>
      <c r="B511" s="42" t="s">
        <v>1</v>
      </c>
      <c r="C511" s="45" t="s">
        <v>1529</v>
      </c>
      <c r="D511" s="45" t="s">
        <v>402</v>
      </c>
      <c r="E511" s="29" t="s">
        <v>907</v>
      </c>
      <c r="F511" s="47" t="s">
        <v>137</v>
      </c>
      <c r="G511" s="42"/>
      <c r="H511" s="42"/>
      <c r="I511" s="44">
        <v>59.4</v>
      </c>
      <c r="J511" s="44">
        <f>+I511+(H511*100)+(G511*400)</f>
        <v>59.4</v>
      </c>
      <c r="K511" s="42">
        <v>12000</v>
      </c>
      <c r="L511" s="42">
        <f t="shared" si="318"/>
        <v>712800</v>
      </c>
      <c r="M511" s="42">
        <v>1</v>
      </c>
      <c r="N511" s="42" t="s">
        <v>64</v>
      </c>
      <c r="O511" s="101" t="s">
        <v>446</v>
      </c>
      <c r="P511" s="45">
        <v>2</v>
      </c>
      <c r="Q511" s="100">
        <v>144.5</v>
      </c>
      <c r="R511" s="100">
        <v>53.03</v>
      </c>
      <c r="S511" s="42">
        <v>6550</v>
      </c>
      <c r="T511" s="12">
        <f>+Q511*S511</f>
        <v>946475</v>
      </c>
      <c r="U511" s="102" t="s">
        <v>98</v>
      </c>
      <c r="V511" s="12">
        <f>+T511*0.54</f>
        <v>511096.50000000006</v>
      </c>
      <c r="W511" s="12">
        <f>+T511-V511</f>
        <v>435378.49999999994</v>
      </c>
      <c r="X511" s="116"/>
      <c r="Y511" s="117">
        <f>+L511*(R511/100)+W511</f>
        <v>813376.3399999999</v>
      </c>
      <c r="Z511" s="12"/>
      <c r="AA511" s="12">
        <f>+Y511-Z511</f>
        <v>813376.3399999999</v>
      </c>
      <c r="AB511" s="12">
        <v>0.02</v>
      </c>
      <c r="AC511" s="12">
        <f>+AA511*AB511/100</f>
        <v>162.675268</v>
      </c>
      <c r="AD511" s="42"/>
      <c r="AE511" s="12"/>
    </row>
    <row r="512" spans="1:31" s="46" customFormat="1" ht="21">
      <c r="A512" s="42" t="s">
        <v>0</v>
      </c>
      <c r="B512" s="42"/>
      <c r="C512" s="45"/>
      <c r="D512" s="45"/>
      <c r="E512" s="31"/>
      <c r="F512" s="47"/>
      <c r="G512" s="42"/>
      <c r="H512" s="42"/>
      <c r="I512" s="44"/>
      <c r="J512" s="44">
        <f>+I512+(H512*100)+(G512*400)</f>
        <v>0</v>
      </c>
      <c r="K512" s="42"/>
      <c r="L512" s="42">
        <f t="shared" si="318"/>
        <v>0</v>
      </c>
      <c r="M512" s="42">
        <v>2</v>
      </c>
      <c r="N512" s="42" t="s">
        <v>64</v>
      </c>
      <c r="O512" s="101" t="s">
        <v>446</v>
      </c>
      <c r="P512" s="45">
        <v>2</v>
      </c>
      <c r="Q512" s="100">
        <v>128</v>
      </c>
      <c r="R512" s="100">
        <v>46.97</v>
      </c>
      <c r="S512" s="42">
        <v>6550</v>
      </c>
      <c r="T512" s="12">
        <f>+Q512*S512</f>
        <v>838400</v>
      </c>
      <c r="U512" s="102" t="s">
        <v>98</v>
      </c>
      <c r="V512" s="12">
        <f>+T512*0.54</f>
        <v>452736.00000000006</v>
      </c>
      <c r="W512" s="12">
        <f>+T512-V512</f>
        <v>385663.99999999994</v>
      </c>
      <c r="X512" s="116"/>
      <c r="Y512" s="117">
        <f>+L511*(R512/100)+W512</f>
        <v>720466.1599999999</v>
      </c>
      <c r="Z512" s="12"/>
      <c r="AA512" s="12">
        <f>+Y512-Z512</f>
        <v>720466.1599999999</v>
      </c>
      <c r="AB512" s="12">
        <v>0.02</v>
      </c>
      <c r="AC512" s="12">
        <f>+AA512*AB512/100</f>
        <v>144.093232</v>
      </c>
      <c r="AD512" s="42"/>
      <c r="AE512" s="12"/>
    </row>
    <row r="513" spans="1:31" s="46" customFormat="1" ht="21">
      <c r="A513" s="42"/>
      <c r="B513" s="42"/>
      <c r="C513" s="45"/>
      <c r="D513" s="31"/>
      <c r="E513" s="31"/>
      <c r="F513" s="47"/>
      <c r="G513" s="42"/>
      <c r="H513" s="42"/>
      <c r="I513" s="44"/>
      <c r="J513" s="44">
        <f t="shared" si="319"/>
        <v>0</v>
      </c>
      <c r="K513" s="42"/>
      <c r="L513" s="42">
        <f t="shared" si="318"/>
        <v>0</v>
      </c>
      <c r="M513" s="42"/>
      <c r="N513" s="42"/>
      <c r="O513" s="101"/>
      <c r="P513" s="45"/>
      <c r="Q513" s="42"/>
      <c r="R513" s="42"/>
      <c r="S513" s="42"/>
      <c r="T513" s="12">
        <f t="shared" si="320"/>
        <v>0</v>
      </c>
      <c r="U513" s="45"/>
      <c r="V513" s="12">
        <f t="shared" si="324"/>
        <v>0</v>
      </c>
      <c r="W513" s="12">
        <f t="shared" si="321"/>
        <v>0</v>
      </c>
      <c r="X513" s="12"/>
      <c r="Y513" s="12">
        <f>+L513+W513</f>
        <v>0</v>
      </c>
      <c r="Z513" s="12"/>
      <c r="AA513" s="12">
        <f t="shared" si="322"/>
        <v>0</v>
      </c>
      <c r="AB513" s="12"/>
      <c r="AC513" s="12">
        <f t="shared" si="323"/>
        <v>0</v>
      </c>
      <c r="AD513" s="42"/>
      <c r="AE513" s="12"/>
    </row>
    <row r="514" spans="1:31" s="46" customFormat="1" ht="21">
      <c r="A514" s="42"/>
      <c r="B514" s="42"/>
      <c r="C514" s="45"/>
      <c r="D514" s="31"/>
      <c r="E514" s="31"/>
      <c r="F514" s="47"/>
      <c r="G514" s="42"/>
      <c r="H514" s="42"/>
      <c r="I514" s="44"/>
      <c r="J514" s="44">
        <f t="shared" si="319"/>
        <v>0</v>
      </c>
      <c r="K514" s="42"/>
      <c r="L514" s="42">
        <f t="shared" si="318"/>
        <v>0</v>
      </c>
      <c r="M514" s="42"/>
      <c r="N514" s="42"/>
      <c r="O514" s="101"/>
      <c r="P514" s="45"/>
      <c r="Q514" s="42"/>
      <c r="R514" s="42"/>
      <c r="S514" s="42"/>
      <c r="T514" s="12">
        <f t="shared" si="320"/>
        <v>0</v>
      </c>
      <c r="U514" s="45"/>
      <c r="V514" s="12">
        <f t="shared" si="324"/>
        <v>0</v>
      </c>
      <c r="W514" s="12">
        <f t="shared" si="321"/>
        <v>0</v>
      </c>
      <c r="X514" s="12"/>
      <c r="Y514" s="12">
        <f>+L514+W514</f>
        <v>0</v>
      </c>
      <c r="Z514" s="12"/>
      <c r="AA514" s="12">
        <f t="shared" si="322"/>
        <v>0</v>
      </c>
      <c r="AB514" s="12"/>
      <c r="AC514" s="12">
        <f t="shared" si="323"/>
        <v>0</v>
      </c>
      <c r="AD514" s="42"/>
      <c r="AE514" s="12"/>
    </row>
    <row r="515" spans="1:31" s="46" customFormat="1" ht="21">
      <c r="A515" s="42" t="s">
        <v>0</v>
      </c>
      <c r="B515" s="42" t="s">
        <v>1</v>
      </c>
      <c r="C515" s="45" t="s">
        <v>1530</v>
      </c>
      <c r="D515" s="45" t="s">
        <v>403</v>
      </c>
      <c r="E515" s="29" t="s">
        <v>907</v>
      </c>
      <c r="F515" s="47" t="s">
        <v>137</v>
      </c>
      <c r="G515" s="42"/>
      <c r="H515" s="42">
        <v>1</v>
      </c>
      <c r="I515" s="44">
        <v>41.7</v>
      </c>
      <c r="J515" s="44">
        <f aca="true" t="shared" si="325" ref="J515:J524">+I515+(H515*100)+(G515*400)</f>
        <v>141.7</v>
      </c>
      <c r="K515" s="42">
        <v>13500</v>
      </c>
      <c r="L515" s="42">
        <f aca="true" t="shared" si="326" ref="L515:L530">+K515*J515</f>
        <v>1912949.9999999998</v>
      </c>
      <c r="M515" s="42">
        <v>1</v>
      </c>
      <c r="N515" s="42" t="s">
        <v>60</v>
      </c>
      <c r="O515" s="101" t="s">
        <v>446</v>
      </c>
      <c r="P515" s="45">
        <v>2</v>
      </c>
      <c r="Q515" s="100">
        <v>144</v>
      </c>
      <c r="R515" s="100">
        <v>46.15</v>
      </c>
      <c r="S515" s="42">
        <v>7550</v>
      </c>
      <c r="T515" s="12">
        <f aca="true" t="shared" si="327" ref="T515:T524">+Q515*S515</f>
        <v>1087200</v>
      </c>
      <c r="U515" s="45" t="s">
        <v>150</v>
      </c>
      <c r="V515" s="12">
        <f>+T515*0.04</f>
        <v>43488</v>
      </c>
      <c r="W515" s="12">
        <f aca="true" t="shared" si="328" ref="W515:W524">+T515-V515</f>
        <v>1043712</v>
      </c>
      <c r="X515" s="116"/>
      <c r="Y515" s="117">
        <f>+L515*(R515/100)+W515</f>
        <v>1926538.4249999998</v>
      </c>
      <c r="Z515" s="12"/>
      <c r="AA515" s="122">
        <f aca="true" t="shared" si="329" ref="AA515:AA524">+Y515-Z515</f>
        <v>1926538.4249999998</v>
      </c>
      <c r="AB515" s="12">
        <v>0.02</v>
      </c>
      <c r="AC515" s="12">
        <f aca="true" t="shared" si="330" ref="AC515:AC524">+AA515*AB515/100</f>
        <v>385.307685</v>
      </c>
      <c r="AD515" s="42"/>
      <c r="AE515" s="12"/>
    </row>
    <row r="516" spans="1:31" s="46" customFormat="1" ht="21">
      <c r="A516" s="42" t="s">
        <v>0</v>
      </c>
      <c r="B516" s="42"/>
      <c r="C516" s="45"/>
      <c r="D516" s="45"/>
      <c r="E516" s="31"/>
      <c r="F516" s="47"/>
      <c r="G516" s="42"/>
      <c r="H516" s="42"/>
      <c r="I516" s="44"/>
      <c r="J516" s="44">
        <f t="shared" si="325"/>
        <v>0</v>
      </c>
      <c r="K516" s="42"/>
      <c r="L516" s="42">
        <f t="shared" si="326"/>
        <v>0</v>
      </c>
      <c r="M516" s="42">
        <v>2</v>
      </c>
      <c r="N516" s="42" t="s">
        <v>159</v>
      </c>
      <c r="O516" s="101" t="s">
        <v>446</v>
      </c>
      <c r="P516" s="45">
        <v>2</v>
      </c>
      <c r="Q516" s="100">
        <f>32*3</f>
        <v>96</v>
      </c>
      <c r="R516" s="100">
        <v>30.76</v>
      </c>
      <c r="S516" s="42">
        <v>7550</v>
      </c>
      <c r="T516" s="12">
        <f t="shared" si="327"/>
        <v>724800</v>
      </c>
      <c r="U516" s="45" t="s">
        <v>150</v>
      </c>
      <c r="V516" s="12">
        <f>+T516*0.04</f>
        <v>28992</v>
      </c>
      <c r="W516" s="12">
        <f t="shared" si="328"/>
        <v>695808</v>
      </c>
      <c r="X516" s="116"/>
      <c r="Y516" s="117">
        <f>+L515*(R516/100)+W516</f>
        <v>1284231.42</v>
      </c>
      <c r="Z516" s="12"/>
      <c r="AA516" s="122">
        <f t="shared" si="329"/>
        <v>1284231.42</v>
      </c>
      <c r="AB516" s="12">
        <v>0.02</v>
      </c>
      <c r="AC516" s="12">
        <f t="shared" si="330"/>
        <v>256.84628399999997</v>
      </c>
      <c r="AD516" s="42"/>
      <c r="AE516" s="12"/>
    </row>
    <row r="517" spans="1:31" s="46" customFormat="1" ht="21">
      <c r="A517" s="42" t="s">
        <v>0</v>
      </c>
      <c r="B517" s="42"/>
      <c r="C517" s="45"/>
      <c r="D517" s="45"/>
      <c r="E517" s="31"/>
      <c r="F517" s="47"/>
      <c r="G517" s="42"/>
      <c r="H517" s="42"/>
      <c r="I517" s="44"/>
      <c r="J517" s="44">
        <f t="shared" si="325"/>
        <v>0</v>
      </c>
      <c r="K517" s="42"/>
      <c r="L517" s="42">
        <f t="shared" si="326"/>
        <v>0</v>
      </c>
      <c r="M517" s="42">
        <v>3</v>
      </c>
      <c r="N517" s="42" t="s">
        <v>159</v>
      </c>
      <c r="O517" s="101" t="s">
        <v>446</v>
      </c>
      <c r="P517" s="45">
        <v>2</v>
      </c>
      <c r="Q517" s="100">
        <f>24*3</f>
        <v>72</v>
      </c>
      <c r="R517" s="100">
        <v>23.09</v>
      </c>
      <c r="S517" s="42">
        <v>7550</v>
      </c>
      <c r="T517" s="12">
        <f t="shared" si="327"/>
        <v>543600</v>
      </c>
      <c r="U517" s="45" t="s">
        <v>150</v>
      </c>
      <c r="V517" s="12">
        <f>+T517*0.04</f>
        <v>21744</v>
      </c>
      <c r="W517" s="12">
        <f t="shared" si="328"/>
        <v>521856</v>
      </c>
      <c r="X517" s="116"/>
      <c r="Y517" s="117">
        <f>+L515*(R517/100)+W517</f>
        <v>963556.1549999999</v>
      </c>
      <c r="Z517" s="12"/>
      <c r="AA517" s="122">
        <f t="shared" si="329"/>
        <v>963556.1549999999</v>
      </c>
      <c r="AB517" s="12">
        <v>0.02</v>
      </c>
      <c r="AC517" s="12">
        <f t="shared" si="330"/>
        <v>192.71123099999997</v>
      </c>
      <c r="AD517" s="42"/>
      <c r="AE517" s="12"/>
    </row>
    <row r="518" spans="1:31" s="46" customFormat="1" ht="21">
      <c r="A518" s="42" t="s">
        <v>0</v>
      </c>
      <c r="B518" s="42" t="s">
        <v>1</v>
      </c>
      <c r="C518" s="45" t="s">
        <v>404</v>
      </c>
      <c r="D518" s="51" t="s">
        <v>404</v>
      </c>
      <c r="E518" s="29" t="s">
        <v>907</v>
      </c>
      <c r="F518" s="47" t="s">
        <v>137</v>
      </c>
      <c r="G518" s="42"/>
      <c r="H518" s="42"/>
      <c r="I518" s="44">
        <v>18</v>
      </c>
      <c r="J518" s="44">
        <f t="shared" si="325"/>
        <v>18</v>
      </c>
      <c r="K518" s="42">
        <v>8000</v>
      </c>
      <c r="L518" s="42">
        <f t="shared" si="326"/>
        <v>144000</v>
      </c>
      <c r="M518" s="42"/>
      <c r="N518" s="42" t="s">
        <v>62</v>
      </c>
      <c r="O518" s="101" t="s">
        <v>446</v>
      </c>
      <c r="P518" s="45">
        <v>2</v>
      </c>
      <c r="Q518" s="100">
        <v>50</v>
      </c>
      <c r="R518" s="100"/>
      <c r="S518" s="42">
        <v>6750</v>
      </c>
      <c r="T518" s="12">
        <f t="shared" si="327"/>
        <v>337500</v>
      </c>
      <c r="U518" s="102" t="s">
        <v>87</v>
      </c>
      <c r="V518" s="12">
        <f>+T518*0.28</f>
        <v>94500.00000000001</v>
      </c>
      <c r="W518" s="12">
        <f t="shared" si="328"/>
        <v>243000</v>
      </c>
      <c r="X518" s="116"/>
      <c r="Y518" s="117">
        <f aca="true" t="shared" si="331" ref="Y518:Y549">+L518+W518</f>
        <v>387000</v>
      </c>
      <c r="Z518" s="12"/>
      <c r="AA518" s="12">
        <f t="shared" si="329"/>
        <v>387000</v>
      </c>
      <c r="AB518" s="12">
        <v>0.02</v>
      </c>
      <c r="AC518" s="12">
        <f t="shared" si="330"/>
        <v>77.4</v>
      </c>
      <c r="AD518" s="42"/>
      <c r="AE518" s="12"/>
    </row>
    <row r="519" spans="1:31" s="46" customFormat="1" ht="21">
      <c r="A519" s="42" t="s">
        <v>0</v>
      </c>
      <c r="B519" s="42" t="s">
        <v>1</v>
      </c>
      <c r="C519" s="45" t="s">
        <v>1531</v>
      </c>
      <c r="D519" s="51" t="s">
        <v>405</v>
      </c>
      <c r="E519" s="10" t="s">
        <v>910</v>
      </c>
      <c r="F519" s="47" t="s">
        <v>137</v>
      </c>
      <c r="G519" s="42"/>
      <c r="H519" s="42"/>
      <c r="I519" s="44">
        <v>84.1</v>
      </c>
      <c r="J519" s="44">
        <f t="shared" si="325"/>
        <v>84.1</v>
      </c>
      <c r="K519" s="42">
        <v>6000</v>
      </c>
      <c r="L519" s="42">
        <f t="shared" si="326"/>
        <v>504599.99999999994</v>
      </c>
      <c r="M519" s="42"/>
      <c r="N519" s="42" t="s">
        <v>64</v>
      </c>
      <c r="O519" s="101" t="s">
        <v>446</v>
      </c>
      <c r="P519" s="45">
        <v>2</v>
      </c>
      <c r="Q519" s="100">
        <v>237.5</v>
      </c>
      <c r="R519" s="100"/>
      <c r="S519" s="42">
        <v>6550</v>
      </c>
      <c r="T519" s="12">
        <f t="shared" si="327"/>
        <v>1555625</v>
      </c>
      <c r="U519" s="45" t="s">
        <v>264</v>
      </c>
      <c r="V519" s="12">
        <f>+T519*0.09</f>
        <v>140006.25</v>
      </c>
      <c r="W519" s="12">
        <f t="shared" si="328"/>
        <v>1415618.75</v>
      </c>
      <c r="X519" s="116"/>
      <c r="Y519" s="117">
        <f t="shared" si="331"/>
        <v>1920218.75</v>
      </c>
      <c r="Z519" s="12">
        <f>+Y519</f>
        <v>1920218.75</v>
      </c>
      <c r="AA519" s="12">
        <f t="shared" si="329"/>
        <v>0</v>
      </c>
      <c r="AB519" s="12"/>
      <c r="AC519" s="12">
        <f t="shared" si="330"/>
        <v>0</v>
      </c>
      <c r="AD519" s="42" t="s">
        <v>906</v>
      </c>
      <c r="AE519" s="50"/>
    </row>
    <row r="520" spans="1:31" s="46" customFormat="1" ht="21">
      <c r="A520" s="42"/>
      <c r="B520" s="42"/>
      <c r="C520" s="45"/>
      <c r="D520" s="31"/>
      <c r="E520" s="31"/>
      <c r="F520" s="47"/>
      <c r="G520" s="42"/>
      <c r="H520" s="42"/>
      <c r="I520" s="44"/>
      <c r="J520" s="44">
        <f t="shared" si="325"/>
        <v>0</v>
      </c>
      <c r="K520" s="42"/>
      <c r="L520" s="42">
        <f t="shared" si="326"/>
        <v>0</v>
      </c>
      <c r="M520" s="42"/>
      <c r="N520" s="42"/>
      <c r="O520" s="101"/>
      <c r="P520" s="45"/>
      <c r="Q520" s="42"/>
      <c r="R520" s="42"/>
      <c r="S520" s="42"/>
      <c r="T520" s="12">
        <f t="shared" si="327"/>
        <v>0</v>
      </c>
      <c r="U520" s="45"/>
      <c r="V520" s="12">
        <f>+T520*0</f>
        <v>0</v>
      </c>
      <c r="W520" s="12">
        <f t="shared" si="328"/>
        <v>0</v>
      </c>
      <c r="X520" s="12"/>
      <c r="Y520" s="12">
        <f t="shared" si="331"/>
        <v>0</v>
      </c>
      <c r="Z520" s="12"/>
      <c r="AA520" s="12">
        <f t="shared" si="329"/>
        <v>0</v>
      </c>
      <c r="AB520" s="12"/>
      <c r="AC520" s="12">
        <f t="shared" si="330"/>
        <v>0</v>
      </c>
      <c r="AD520" s="42"/>
      <c r="AE520" s="12"/>
    </row>
    <row r="521" spans="1:31" s="46" customFormat="1" ht="21">
      <c r="A521" s="42"/>
      <c r="B521" s="42"/>
      <c r="C521" s="45"/>
      <c r="D521" s="31"/>
      <c r="E521" s="31"/>
      <c r="F521" s="47"/>
      <c r="G521" s="42"/>
      <c r="H521" s="42"/>
      <c r="I521" s="44"/>
      <c r="J521" s="44">
        <f t="shared" si="325"/>
        <v>0</v>
      </c>
      <c r="K521" s="42"/>
      <c r="L521" s="42">
        <f t="shared" si="326"/>
        <v>0</v>
      </c>
      <c r="M521" s="42"/>
      <c r="N521" s="42"/>
      <c r="O521" s="101"/>
      <c r="P521" s="45"/>
      <c r="Q521" s="42"/>
      <c r="R521" s="42"/>
      <c r="S521" s="42"/>
      <c r="T521" s="12">
        <f t="shared" si="327"/>
        <v>0</v>
      </c>
      <c r="U521" s="45"/>
      <c r="V521" s="12">
        <f>+T521*0</f>
        <v>0</v>
      </c>
      <c r="W521" s="12">
        <f t="shared" si="328"/>
        <v>0</v>
      </c>
      <c r="X521" s="12"/>
      <c r="Y521" s="12">
        <f t="shared" si="331"/>
        <v>0</v>
      </c>
      <c r="Z521" s="12"/>
      <c r="AA521" s="12">
        <f t="shared" si="329"/>
        <v>0</v>
      </c>
      <c r="AB521" s="12"/>
      <c r="AC521" s="12">
        <f t="shared" si="330"/>
        <v>0</v>
      </c>
      <c r="AD521" s="42"/>
      <c r="AE521" s="12"/>
    </row>
    <row r="522" spans="1:31" s="46" customFormat="1" ht="21">
      <c r="A522" s="42" t="s">
        <v>0</v>
      </c>
      <c r="B522" s="42" t="s">
        <v>1</v>
      </c>
      <c r="C522" s="45" t="s">
        <v>1532</v>
      </c>
      <c r="D522" s="51" t="s">
        <v>406</v>
      </c>
      <c r="E522" s="29" t="s">
        <v>907</v>
      </c>
      <c r="F522" s="47" t="s">
        <v>137</v>
      </c>
      <c r="G522" s="42"/>
      <c r="H522" s="42"/>
      <c r="I522" s="44">
        <v>16</v>
      </c>
      <c r="J522" s="44">
        <f t="shared" si="325"/>
        <v>16</v>
      </c>
      <c r="K522" s="42">
        <v>30000</v>
      </c>
      <c r="L522" s="42">
        <f t="shared" si="326"/>
        <v>480000</v>
      </c>
      <c r="M522" s="42"/>
      <c r="N522" s="42" t="s">
        <v>60</v>
      </c>
      <c r="O522" s="101" t="s">
        <v>446</v>
      </c>
      <c r="P522" s="45">
        <v>2</v>
      </c>
      <c r="Q522" s="100">
        <v>120</v>
      </c>
      <c r="R522" s="100"/>
      <c r="S522" s="42">
        <v>7550</v>
      </c>
      <c r="T522" s="12">
        <f t="shared" si="327"/>
        <v>906000</v>
      </c>
      <c r="U522" s="102" t="s">
        <v>93</v>
      </c>
      <c r="V522" s="12">
        <f>+T522*0.44</f>
        <v>398640</v>
      </c>
      <c r="W522" s="12">
        <f t="shared" si="328"/>
        <v>507360</v>
      </c>
      <c r="X522" s="116"/>
      <c r="Y522" s="117">
        <f t="shared" si="331"/>
        <v>987360</v>
      </c>
      <c r="Z522" s="12">
        <f>+Y522</f>
        <v>987360</v>
      </c>
      <c r="AA522" s="12">
        <f t="shared" si="329"/>
        <v>0</v>
      </c>
      <c r="AB522" s="12"/>
      <c r="AC522" s="12">
        <f t="shared" si="330"/>
        <v>0</v>
      </c>
      <c r="AD522" s="42" t="s">
        <v>906</v>
      </c>
      <c r="AE522" s="12"/>
    </row>
    <row r="523" spans="1:31" s="46" customFormat="1" ht="21">
      <c r="A523" s="42"/>
      <c r="B523" s="42"/>
      <c r="C523" s="45"/>
      <c r="D523" s="31"/>
      <c r="E523" s="31"/>
      <c r="F523" s="47"/>
      <c r="G523" s="42"/>
      <c r="H523" s="42"/>
      <c r="I523" s="44"/>
      <c r="J523" s="44">
        <f t="shared" si="325"/>
        <v>0</v>
      </c>
      <c r="K523" s="42"/>
      <c r="L523" s="42">
        <f t="shared" si="326"/>
        <v>0</v>
      </c>
      <c r="M523" s="42"/>
      <c r="N523" s="42"/>
      <c r="O523" s="101"/>
      <c r="P523" s="45"/>
      <c r="Q523" s="42"/>
      <c r="R523" s="42"/>
      <c r="S523" s="42"/>
      <c r="T523" s="12">
        <f t="shared" si="327"/>
        <v>0</v>
      </c>
      <c r="U523" s="45"/>
      <c r="V523" s="12">
        <f>+T523*0</f>
        <v>0</v>
      </c>
      <c r="W523" s="12">
        <f t="shared" si="328"/>
        <v>0</v>
      </c>
      <c r="X523" s="12"/>
      <c r="Y523" s="12">
        <f t="shared" si="331"/>
        <v>0</v>
      </c>
      <c r="Z523" s="12"/>
      <c r="AA523" s="12">
        <f t="shared" si="329"/>
        <v>0</v>
      </c>
      <c r="AB523" s="12"/>
      <c r="AC523" s="12">
        <f t="shared" si="330"/>
        <v>0</v>
      </c>
      <c r="AD523" s="42"/>
      <c r="AE523" s="12"/>
    </row>
    <row r="524" spans="1:31" s="46" customFormat="1" ht="21">
      <c r="A524" s="42"/>
      <c r="B524" s="42"/>
      <c r="C524" s="45"/>
      <c r="D524" s="31"/>
      <c r="E524" s="31"/>
      <c r="F524" s="47"/>
      <c r="G524" s="42"/>
      <c r="H524" s="42"/>
      <c r="I524" s="44"/>
      <c r="J524" s="44">
        <f t="shared" si="325"/>
        <v>0</v>
      </c>
      <c r="K524" s="42"/>
      <c r="L524" s="42">
        <f t="shared" si="326"/>
        <v>0</v>
      </c>
      <c r="M524" s="42"/>
      <c r="N524" s="42"/>
      <c r="O524" s="101"/>
      <c r="P524" s="45"/>
      <c r="Q524" s="42"/>
      <c r="R524" s="42"/>
      <c r="S524" s="42"/>
      <c r="T524" s="12">
        <f t="shared" si="327"/>
        <v>0</v>
      </c>
      <c r="U524" s="45"/>
      <c r="V524" s="12">
        <f>+T524*0</f>
        <v>0</v>
      </c>
      <c r="W524" s="12">
        <f t="shared" si="328"/>
        <v>0</v>
      </c>
      <c r="X524" s="12"/>
      <c r="Y524" s="12">
        <f t="shared" si="331"/>
        <v>0</v>
      </c>
      <c r="Z524" s="12"/>
      <c r="AA524" s="12">
        <f t="shared" si="329"/>
        <v>0</v>
      </c>
      <c r="AB524" s="12"/>
      <c r="AC524" s="12">
        <f t="shared" si="330"/>
        <v>0</v>
      </c>
      <c r="AD524" s="42"/>
      <c r="AE524" s="12"/>
    </row>
    <row r="525" spans="1:31" s="46" customFormat="1" ht="21">
      <c r="A525" s="42" t="s">
        <v>0</v>
      </c>
      <c r="B525" s="42" t="s">
        <v>1</v>
      </c>
      <c r="C525" s="45" t="s">
        <v>1533</v>
      </c>
      <c r="D525" s="45" t="s">
        <v>407</v>
      </c>
      <c r="E525" s="29" t="s">
        <v>907</v>
      </c>
      <c r="F525" s="47" t="s">
        <v>137</v>
      </c>
      <c r="G525" s="42"/>
      <c r="H525" s="42"/>
      <c r="I525" s="44">
        <v>29.6</v>
      </c>
      <c r="J525" s="44">
        <f aca="true" t="shared" si="332" ref="J525:J530">+I525+(H525*100)+(G525*400)</f>
        <v>29.6</v>
      </c>
      <c r="K525" s="42">
        <v>12000</v>
      </c>
      <c r="L525" s="42">
        <f t="shared" si="326"/>
        <v>355200</v>
      </c>
      <c r="M525" s="42"/>
      <c r="N525" s="42" t="s">
        <v>62</v>
      </c>
      <c r="O525" s="101" t="s">
        <v>446</v>
      </c>
      <c r="P525" s="45">
        <v>2</v>
      </c>
      <c r="Q525" s="100">
        <v>228</v>
      </c>
      <c r="R525" s="100"/>
      <c r="S525" s="42">
        <v>6750</v>
      </c>
      <c r="T525" s="12">
        <f aca="true" t="shared" si="333" ref="T525:T530">+Q525*S525</f>
        <v>1539000</v>
      </c>
      <c r="U525" s="102" t="s">
        <v>92</v>
      </c>
      <c r="V525" s="12">
        <f>+T525*0.42</f>
        <v>646380</v>
      </c>
      <c r="W525" s="12">
        <f aca="true" t="shared" si="334" ref="W525:W530">+T525-V525</f>
        <v>892620</v>
      </c>
      <c r="X525" s="116"/>
      <c r="Y525" s="117">
        <f t="shared" si="331"/>
        <v>1247820</v>
      </c>
      <c r="Z525" s="12"/>
      <c r="AA525" s="12">
        <f aca="true" t="shared" si="335" ref="AA525:AA530">+Y525-Z525</f>
        <v>1247820</v>
      </c>
      <c r="AB525" s="12">
        <v>0.02</v>
      </c>
      <c r="AC525" s="12">
        <f aca="true" t="shared" si="336" ref="AC525:AC530">+AA525*AB525/100</f>
        <v>249.56400000000002</v>
      </c>
      <c r="AD525" s="42"/>
      <c r="AE525" s="12"/>
    </row>
    <row r="526" spans="1:31" s="46" customFormat="1" ht="21">
      <c r="A526" s="42"/>
      <c r="B526" s="42"/>
      <c r="C526" s="45"/>
      <c r="D526" s="31"/>
      <c r="E526" s="31"/>
      <c r="F526" s="47"/>
      <c r="G526" s="42"/>
      <c r="H526" s="42"/>
      <c r="I526" s="44"/>
      <c r="J526" s="44">
        <f t="shared" si="332"/>
        <v>0</v>
      </c>
      <c r="K526" s="42"/>
      <c r="L526" s="42">
        <f t="shared" si="326"/>
        <v>0</v>
      </c>
      <c r="M526" s="42"/>
      <c r="N526" s="42"/>
      <c r="O526" s="101"/>
      <c r="P526" s="45"/>
      <c r="Q526" s="42"/>
      <c r="R526" s="42"/>
      <c r="S526" s="42"/>
      <c r="T526" s="12">
        <f t="shared" si="333"/>
        <v>0</v>
      </c>
      <c r="U526" s="45"/>
      <c r="V526" s="12">
        <f>+T526*0</f>
        <v>0</v>
      </c>
      <c r="W526" s="12">
        <f t="shared" si="334"/>
        <v>0</v>
      </c>
      <c r="X526" s="12"/>
      <c r="Y526" s="12">
        <f t="shared" si="331"/>
        <v>0</v>
      </c>
      <c r="Z526" s="12"/>
      <c r="AA526" s="12">
        <f t="shared" si="335"/>
        <v>0</v>
      </c>
      <c r="AB526" s="12"/>
      <c r="AC526" s="12">
        <f t="shared" si="336"/>
        <v>0</v>
      </c>
      <c r="AD526" s="42"/>
      <c r="AE526" s="12"/>
    </row>
    <row r="527" spans="1:31" s="46" customFormat="1" ht="21">
      <c r="A527" s="42"/>
      <c r="B527" s="42"/>
      <c r="C527" s="45"/>
      <c r="D527" s="31"/>
      <c r="E527" s="31"/>
      <c r="F527" s="47"/>
      <c r="G527" s="42"/>
      <c r="H527" s="42"/>
      <c r="I527" s="44"/>
      <c r="J527" s="44">
        <f t="shared" si="332"/>
        <v>0</v>
      </c>
      <c r="K527" s="42"/>
      <c r="L527" s="42">
        <f t="shared" si="326"/>
        <v>0</v>
      </c>
      <c r="M527" s="42"/>
      <c r="N527" s="42"/>
      <c r="O527" s="101"/>
      <c r="P527" s="45"/>
      <c r="Q527" s="42"/>
      <c r="R527" s="42"/>
      <c r="S527" s="42"/>
      <c r="T527" s="12">
        <f t="shared" si="333"/>
        <v>0</v>
      </c>
      <c r="U527" s="45"/>
      <c r="V527" s="12">
        <f>+T527*0</f>
        <v>0</v>
      </c>
      <c r="W527" s="12">
        <f t="shared" si="334"/>
        <v>0</v>
      </c>
      <c r="X527" s="12"/>
      <c r="Y527" s="12">
        <f t="shared" si="331"/>
        <v>0</v>
      </c>
      <c r="Z527" s="12"/>
      <c r="AA527" s="12">
        <f t="shared" si="335"/>
        <v>0</v>
      </c>
      <c r="AB527" s="12"/>
      <c r="AC527" s="12">
        <f t="shared" si="336"/>
        <v>0</v>
      </c>
      <c r="AD527" s="42"/>
      <c r="AE527" s="12"/>
    </row>
    <row r="528" spans="1:31" s="46" customFormat="1" ht="21">
      <c r="A528" s="42" t="s">
        <v>0</v>
      </c>
      <c r="B528" s="42" t="s">
        <v>1</v>
      </c>
      <c r="C528" s="45" t="s">
        <v>1534</v>
      </c>
      <c r="D528" s="45" t="s">
        <v>408</v>
      </c>
      <c r="E528" s="29" t="s">
        <v>907</v>
      </c>
      <c r="F528" s="47" t="s">
        <v>137</v>
      </c>
      <c r="G528" s="42"/>
      <c r="H528" s="42"/>
      <c r="I528" s="44">
        <v>16</v>
      </c>
      <c r="J528" s="44">
        <f>+I528+(H528*100)+(G528*400)</f>
        <v>16</v>
      </c>
      <c r="K528" s="42">
        <v>8000</v>
      </c>
      <c r="L528" s="42">
        <f t="shared" si="326"/>
        <v>128000</v>
      </c>
      <c r="M528" s="42"/>
      <c r="N528" s="42" t="s">
        <v>62</v>
      </c>
      <c r="O528" s="101" t="s">
        <v>446</v>
      </c>
      <c r="P528" s="45">
        <v>2</v>
      </c>
      <c r="Q528" s="100">
        <v>56</v>
      </c>
      <c r="R528" s="100"/>
      <c r="S528" s="42">
        <v>6750</v>
      </c>
      <c r="T528" s="12">
        <f>+Q528*S528</f>
        <v>378000</v>
      </c>
      <c r="U528" s="102" t="s">
        <v>86</v>
      </c>
      <c r="V528" s="12">
        <f>+T528*0.26</f>
        <v>98280</v>
      </c>
      <c r="W528" s="12">
        <f>+T528-V528</f>
        <v>279720</v>
      </c>
      <c r="X528" s="116"/>
      <c r="Y528" s="117">
        <f t="shared" si="331"/>
        <v>407720</v>
      </c>
      <c r="Z528" s="12"/>
      <c r="AA528" s="12">
        <f>+Y528-Z528</f>
        <v>407720</v>
      </c>
      <c r="AB528" s="12">
        <v>0.02</v>
      </c>
      <c r="AC528" s="12">
        <f>+AA528*AB528/100</f>
        <v>81.54400000000001</v>
      </c>
      <c r="AD528" s="42"/>
      <c r="AE528" s="12"/>
    </row>
    <row r="529" spans="1:31" s="46" customFormat="1" ht="21">
      <c r="A529" s="42"/>
      <c r="B529" s="42"/>
      <c r="C529" s="45"/>
      <c r="D529" s="31"/>
      <c r="E529" s="31"/>
      <c r="F529" s="47"/>
      <c r="G529" s="42"/>
      <c r="H529" s="42"/>
      <c r="I529" s="44"/>
      <c r="J529" s="44">
        <f t="shared" si="332"/>
        <v>0</v>
      </c>
      <c r="K529" s="42"/>
      <c r="L529" s="42">
        <f t="shared" si="326"/>
        <v>0</v>
      </c>
      <c r="M529" s="42"/>
      <c r="N529" s="42"/>
      <c r="O529" s="101"/>
      <c r="P529" s="45"/>
      <c r="Q529" s="42"/>
      <c r="R529" s="42"/>
      <c r="S529" s="42"/>
      <c r="T529" s="12">
        <f t="shared" si="333"/>
        <v>0</v>
      </c>
      <c r="U529" s="45"/>
      <c r="V529" s="12">
        <f>+T529*0</f>
        <v>0</v>
      </c>
      <c r="W529" s="12">
        <f t="shared" si="334"/>
        <v>0</v>
      </c>
      <c r="X529" s="12"/>
      <c r="Y529" s="12">
        <f t="shared" si="331"/>
        <v>0</v>
      </c>
      <c r="Z529" s="12"/>
      <c r="AA529" s="12">
        <f t="shared" si="335"/>
        <v>0</v>
      </c>
      <c r="AB529" s="12"/>
      <c r="AC529" s="12">
        <f t="shared" si="336"/>
        <v>0</v>
      </c>
      <c r="AD529" s="42"/>
      <c r="AE529" s="12"/>
    </row>
    <row r="530" spans="1:31" s="46" customFormat="1" ht="21">
      <c r="A530" s="42"/>
      <c r="B530" s="42"/>
      <c r="C530" s="45"/>
      <c r="D530" s="31"/>
      <c r="E530" s="31"/>
      <c r="F530" s="47"/>
      <c r="G530" s="42"/>
      <c r="H530" s="42"/>
      <c r="I530" s="44"/>
      <c r="J530" s="44">
        <f t="shared" si="332"/>
        <v>0</v>
      </c>
      <c r="K530" s="42"/>
      <c r="L530" s="42">
        <f t="shared" si="326"/>
        <v>0</v>
      </c>
      <c r="M530" s="42"/>
      <c r="N530" s="42"/>
      <c r="O530" s="101"/>
      <c r="P530" s="45"/>
      <c r="Q530" s="42"/>
      <c r="R530" s="42"/>
      <c r="S530" s="42"/>
      <c r="T530" s="12">
        <f t="shared" si="333"/>
        <v>0</v>
      </c>
      <c r="U530" s="45"/>
      <c r="V530" s="12">
        <f>+T530*0</f>
        <v>0</v>
      </c>
      <c r="W530" s="12">
        <f t="shared" si="334"/>
        <v>0</v>
      </c>
      <c r="X530" s="12"/>
      <c r="Y530" s="12">
        <f t="shared" si="331"/>
        <v>0</v>
      </c>
      <c r="Z530" s="12"/>
      <c r="AA530" s="12">
        <f t="shared" si="335"/>
        <v>0</v>
      </c>
      <c r="AB530" s="12"/>
      <c r="AC530" s="12">
        <f t="shared" si="336"/>
        <v>0</v>
      </c>
      <c r="AD530" s="42"/>
      <c r="AE530" s="12"/>
    </row>
    <row r="531" spans="1:31" s="46" customFormat="1" ht="21">
      <c r="A531" s="42" t="s">
        <v>0</v>
      </c>
      <c r="B531" s="42" t="s">
        <v>1</v>
      </c>
      <c r="C531" s="45" t="s">
        <v>1535</v>
      </c>
      <c r="D531" s="45" t="s">
        <v>409</v>
      </c>
      <c r="E531" s="29" t="s">
        <v>907</v>
      </c>
      <c r="F531" s="47" t="s">
        <v>137</v>
      </c>
      <c r="G531" s="42"/>
      <c r="H531" s="42"/>
      <c r="I531" s="44">
        <v>17.9</v>
      </c>
      <c r="J531" s="44">
        <f aca="true" t="shared" si="337" ref="J531:J536">+I531+(H531*100)+(G531*400)</f>
        <v>17.9</v>
      </c>
      <c r="K531" s="42">
        <v>12000</v>
      </c>
      <c r="L531" s="42">
        <f aca="true" t="shared" si="338" ref="L531:L551">+K531*J531</f>
        <v>214799.99999999997</v>
      </c>
      <c r="M531" s="42"/>
      <c r="N531" s="42" t="s">
        <v>62</v>
      </c>
      <c r="O531" s="101" t="s">
        <v>446</v>
      </c>
      <c r="P531" s="45">
        <v>2</v>
      </c>
      <c r="Q531" s="100">
        <v>48</v>
      </c>
      <c r="R531" s="100"/>
      <c r="S531" s="42">
        <v>6750</v>
      </c>
      <c r="T531" s="12">
        <f aca="true" t="shared" si="339" ref="T531:T536">+Q531*S531</f>
        <v>324000</v>
      </c>
      <c r="U531" s="102" t="s">
        <v>103</v>
      </c>
      <c r="V531" s="12">
        <f>+T531*0.66</f>
        <v>213840</v>
      </c>
      <c r="W531" s="12">
        <f aca="true" t="shared" si="340" ref="W531:W536">+T531-V531</f>
        <v>110160</v>
      </c>
      <c r="X531" s="116"/>
      <c r="Y531" s="117">
        <f t="shared" si="331"/>
        <v>324960</v>
      </c>
      <c r="Z531" s="12"/>
      <c r="AA531" s="12">
        <f aca="true" t="shared" si="341" ref="AA531:AA536">+Y531-Z531</f>
        <v>324960</v>
      </c>
      <c r="AB531" s="12">
        <v>0.02</v>
      </c>
      <c r="AC531" s="12">
        <f aca="true" t="shared" si="342" ref="AC531:AC536">+AA531*AB531/100</f>
        <v>64.992</v>
      </c>
      <c r="AD531" s="42"/>
      <c r="AE531" s="12"/>
    </row>
    <row r="532" spans="1:31" s="46" customFormat="1" ht="21">
      <c r="A532" s="42"/>
      <c r="B532" s="42"/>
      <c r="C532" s="45"/>
      <c r="D532" s="31"/>
      <c r="E532" s="31"/>
      <c r="F532" s="47"/>
      <c r="G532" s="42"/>
      <c r="H532" s="42"/>
      <c r="I532" s="44"/>
      <c r="J532" s="44">
        <f t="shared" si="337"/>
        <v>0</v>
      </c>
      <c r="K532" s="42"/>
      <c r="L532" s="42">
        <f t="shared" si="338"/>
        <v>0</v>
      </c>
      <c r="M532" s="42"/>
      <c r="N532" s="42"/>
      <c r="O532" s="101"/>
      <c r="P532" s="45"/>
      <c r="Q532" s="42"/>
      <c r="R532" s="42"/>
      <c r="S532" s="42"/>
      <c r="T532" s="12">
        <f t="shared" si="339"/>
        <v>0</v>
      </c>
      <c r="U532" s="45"/>
      <c r="V532" s="12">
        <f>+T532*0</f>
        <v>0</v>
      </c>
      <c r="W532" s="12">
        <f t="shared" si="340"/>
        <v>0</v>
      </c>
      <c r="X532" s="12"/>
      <c r="Y532" s="12">
        <f t="shared" si="331"/>
        <v>0</v>
      </c>
      <c r="Z532" s="12"/>
      <c r="AA532" s="12">
        <f t="shared" si="341"/>
        <v>0</v>
      </c>
      <c r="AB532" s="12"/>
      <c r="AC532" s="12">
        <f t="shared" si="342"/>
        <v>0</v>
      </c>
      <c r="AD532" s="42"/>
      <c r="AE532" s="12"/>
    </row>
    <row r="533" spans="1:31" s="46" customFormat="1" ht="21">
      <c r="A533" s="42"/>
      <c r="B533" s="42"/>
      <c r="C533" s="45"/>
      <c r="D533" s="31"/>
      <c r="E533" s="31"/>
      <c r="F533" s="47"/>
      <c r="G533" s="42"/>
      <c r="H533" s="42"/>
      <c r="I533" s="44"/>
      <c r="J533" s="44">
        <f t="shared" si="337"/>
        <v>0</v>
      </c>
      <c r="K533" s="42"/>
      <c r="L533" s="42">
        <f t="shared" si="338"/>
        <v>0</v>
      </c>
      <c r="M533" s="42"/>
      <c r="N533" s="42"/>
      <c r="O533" s="101"/>
      <c r="P533" s="45"/>
      <c r="Q533" s="42"/>
      <c r="R533" s="42"/>
      <c r="S533" s="42"/>
      <c r="T533" s="12">
        <f t="shared" si="339"/>
        <v>0</v>
      </c>
      <c r="U533" s="45"/>
      <c r="V533" s="12">
        <f>+T533*0</f>
        <v>0</v>
      </c>
      <c r="W533" s="12">
        <f t="shared" si="340"/>
        <v>0</v>
      </c>
      <c r="X533" s="12"/>
      <c r="Y533" s="12">
        <f t="shared" si="331"/>
        <v>0</v>
      </c>
      <c r="Z533" s="12"/>
      <c r="AA533" s="12">
        <f t="shared" si="341"/>
        <v>0</v>
      </c>
      <c r="AB533" s="12"/>
      <c r="AC533" s="12">
        <f t="shared" si="342"/>
        <v>0</v>
      </c>
      <c r="AD533" s="42"/>
      <c r="AE533" s="12"/>
    </row>
    <row r="534" spans="1:31" s="46" customFormat="1" ht="21">
      <c r="A534" s="42" t="s">
        <v>0</v>
      </c>
      <c r="B534" s="42" t="s">
        <v>1</v>
      </c>
      <c r="C534" s="45" t="s">
        <v>1536</v>
      </c>
      <c r="D534" s="51" t="s">
        <v>410</v>
      </c>
      <c r="E534" s="29" t="s">
        <v>907</v>
      </c>
      <c r="F534" s="47" t="s">
        <v>137</v>
      </c>
      <c r="G534" s="42"/>
      <c r="H534" s="42"/>
      <c r="I534" s="44">
        <v>23</v>
      </c>
      <c r="J534" s="44">
        <f>+I534+(H534*100)+(G534*400)</f>
        <v>23</v>
      </c>
      <c r="K534" s="42">
        <v>15000</v>
      </c>
      <c r="L534" s="42">
        <f>+K534*J534</f>
        <v>345000</v>
      </c>
      <c r="M534" s="42">
        <v>1</v>
      </c>
      <c r="N534" s="42" t="s">
        <v>60</v>
      </c>
      <c r="O534" s="101" t="s">
        <v>446</v>
      </c>
      <c r="P534" s="45">
        <v>2</v>
      </c>
      <c r="Q534" s="100">
        <v>90.2</v>
      </c>
      <c r="R534" s="100"/>
      <c r="S534" s="42">
        <v>7550</v>
      </c>
      <c r="T534" s="12">
        <f>+Q534*S534</f>
        <v>681010</v>
      </c>
      <c r="U534" s="102" t="s">
        <v>92</v>
      </c>
      <c r="V534" s="12">
        <f>+T534*0.42</f>
        <v>286024.2</v>
      </c>
      <c r="W534" s="12">
        <f>+T534-V534</f>
        <v>394985.8</v>
      </c>
      <c r="X534" s="116"/>
      <c r="Y534" s="117">
        <f t="shared" si="331"/>
        <v>739985.8</v>
      </c>
      <c r="Z534" s="12"/>
      <c r="AA534" s="12">
        <f>+Y534-Z534</f>
        <v>739985.8</v>
      </c>
      <c r="AB534" s="12">
        <v>0.02</v>
      </c>
      <c r="AC534" s="12">
        <f>+AA534*AB534/100</f>
        <v>147.99716</v>
      </c>
      <c r="AD534" s="42"/>
      <c r="AE534" s="12"/>
    </row>
    <row r="535" spans="1:31" s="46" customFormat="1" ht="21">
      <c r="A535" s="42" t="s">
        <v>0</v>
      </c>
      <c r="B535" s="42"/>
      <c r="C535" s="45"/>
      <c r="D535" s="45"/>
      <c r="E535" s="31"/>
      <c r="F535" s="47"/>
      <c r="G535" s="42"/>
      <c r="H535" s="42"/>
      <c r="I535" s="44">
        <v>80.8</v>
      </c>
      <c r="J535" s="44">
        <f>+I535+(H535*100)+(G535*400)</f>
        <v>80.8</v>
      </c>
      <c r="K535" s="42">
        <v>15000</v>
      </c>
      <c r="L535" s="42">
        <f>+K535*J535</f>
        <v>1212000</v>
      </c>
      <c r="M535" s="42">
        <v>2</v>
      </c>
      <c r="N535" s="42" t="s">
        <v>159</v>
      </c>
      <c r="O535" s="101" t="s">
        <v>446</v>
      </c>
      <c r="P535" s="45">
        <v>2</v>
      </c>
      <c r="Q535" s="100">
        <f>50.4*3</f>
        <v>151.2</v>
      </c>
      <c r="R535" s="100"/>
      <c r="S535" s="42">
        <v>7550</v>
      </c>
      <c r="T535" s="12">
        <f>+Q535*S535</f>
        <v>1141560</v>
      </c>
      <c r="U535" s="102" t="s">
        <v>92</v>
      </c>
      <c r="V535" s="12">
        <f>+T535*0.42</f>
        <v>479455.19999999995</v>
      </c>
      <c r="W535" s="12">
        <f>+T535-V535</f>
        <v>662104.8</v>
      </c>
      <c r="X535" s="116"/>
      <c r="Y535" s="117">
        <f t="shared" si="331"/>
        <v>1874104.8</v>
      </c>
      <c r="Z535" s="12"/>
      <c r="AA535" s="12">
        <f>+Y535-Z535</f>
        <v>1874104.8</v>
      </c>
      <c r="AB535" s="12">
        <v>0.02</v>
      </c>
      <c r="AC535" s="12">
        <f>+AA535*AB535/100</f>
        <v>374.82096000000007</v>
      </c>
      <c r="AD535" s="42"/>
      <c r="AE535" s="12"/>
    </row>
    <row r="536" spans="1:31" s="46" customFormat="1" ht="21">
      <c r="A536" s="42"/>
      <c r="B536" s="42"/>
      <c r="C536" s="45"/>
      <c r="D536" s="31"/>
      <c r="E536" s="31"/>
      <c r="F536" s="47"/>
      <c r="G536" s="42"/>
      <c r="H536" s="42"/>
      <c r="I536" s="44"/>
      <c r="J536" s="44">
        <f t="shared" si="337"/>
        <v>0</v>
      </c>
      <c r="K536" s="42"/>
      <c r="L536" s="42">
        <f t="shared" si="338"/>
        <v>0</v>
      </c>
      <c r="M536" s="42"/>
      <c r="N536" s="42"/>
      <c r="O536" s="101"/>
      <c r="P536" s="45"/>
      <c r="Q536" s="42"/>
      <c r="R536" s="42"/>
      <c r="S536" s="42"/>
      <c r="T536" s="12">
        <f t="shared" si="339"/>
        <v>0</v>
      </c>
      <c r="U536" s="45"/>
      <c r="V536" s="12">
        <f>+T536*0</f>
        <v>0</v>
      </c>
      <c r="W536" s="12">
        <f t="shared" si="340"/>
        <v>0</v>
      </c>
      <c r="X536" s="12"/>
      <c r="Y536" s="12">
        <f t="shared" si="331"/>
        <v>0</v>
      </c>
      <c r="Z536" s="12"/>
      <c r="AA536" s="12">
        <f t="shared" si="341"/>
        <v>0</v>
      </c>
      <c r="AB536" s="12"/>
      <c r="AC536" s="12">
        <f t="shared" si="342"/>
        <v>0</v>
      </c>
      <c r="AD536" s="42"/>
      <c r="AE536" s="12"/>
    </row>
    <row r="537" spans="1:31" s="46" customFormat="1" ht="21">
      <c r="A537" s="42" t="s">
        <v>0</v>
      </c>
      <c r="B537" s="42" t="s">
        <v>1</v>
      </c>
      <c r="C537" s="45" t="s">
        <v>1537</v>
      </c>
      <c r="D537" s="51" t="s">
        <v>411</v>
      </c>
      <c r="E537" s="29" t="s">
        <v>907</v>
      </c>
      <c r="F537" s="47" t="s">
        <v>137</v>
      </c>
      <c r="G537" s="42"/>
      <c r="H537" s="42"/>
      <c r="I537" s="44">
        <v>18.6</v>
      </c>
      <c r="J537" s="44">
        <f>+I537+(H537*100)+(G537*400)</f>
        <v>18.6</v>
      </c>
      <c r="K537" s="42">
        <v>18000</v>
      </c>
      <c r="L537" s="42">
        <f t="shared" si="338"/>
        <v>334800</v>
      </c>
      <c r="M537" s="42"/>
      <c r="N537" s="42" t="s">
        <v>62</v>
      </c>
      <c r="O537" s="101" t="s">
        <v>446</v>
      </c>
      <c r="P537" s="45">
        <v>2</v>
      </c>
      <c r="Q537" s="100">
        <v>96</v>
      </c>
      <c r="R537" s="100"/>
      <c r="S537" s="42">
        <v>6750</v>
      </c>
      <c r="T537" s="12">
        <f>+Q537*S537</f>
        <v>648000</v>
      </c>
      <c r="U537" s="102" t="s">
        <v>86</v>
      </c>
      <c r="V537" s="12">
        <f>+T537*0.26</f>
        <v>168480</v>
      </c>
      <c r="W537" s="12">
        <f>+T537-V537</f>
        <v>479520</v>
      </c>
      <c r="X537" s="116"/>
      <c r="Y537" s="117">
        <f t="shared" si="331"/>
        <v>814320</v>
      </c>
      <c r="Z537" s="12"/>
      <c r="AA537" s="12">
        <f>+Y537-Z537</f>
        <v>814320</v>
      </c>
      <c r="AB537" s="12">
        <v>0.02</v>
      </c>
      <c r="AC537" s="12">
        <f>+AA537*AB537/100</f>
        <v>162.864</v>
      </c>
      <c r="AD537" s="42"/>
      <c r="AE537" s="12"/>
    </row>
    <row r="538" spans="1:31" s="46" customFormat="1" ht="21">
      <c r="A538" s="42"/>
      <c r="B538" s="42"/>
      <c r="C538" s="45"/>
      <c r="D538" s="31"/>
      <c r="E538" s="31"/>
      <c r="F538" s="47"/>
      <c r="G538" s="42"/>
      <c r="H538" s="42"/>
      <c r="I538" s="44"/>
      <c r="J538" s="44">
        <f>+I538+(H538*100)+(G538*400)</f>
        <v>0</v>
      </c>
      <c r="K538" s="42"/>
      <c r="L538" s="42">
        <f t="shared" si="338"/>
        <v>0</v>
      </c>
      <c r="M538" s="42"/>
      <c r="N538" s="42"/>
      <c r="O538" s="101"/>
      <c r="P538" s="45"/>
      <c r="Q538" s="42"/>
      <c r="R538" s="42"/>
      <c r="S538" s="42"/>
      <c r="T538" s="12">
        <f>+Q538*S538</f>
        <v>0</v>
      </c>
      <c r="U538" s="45"/>
      <c r="V538" s="12">
        <f>+T538*0</f>
        <v>0</v>
      </c>
      <c r="W538" s="12">
        <f>+T538-V538</f>
        <v>0</v>
      </c>
      <c r="X538" s="12"/>
      <c r="Y538" s="12">
        <f t="shared" si="331"/>
        <v>0</v>
      </c>
      <c r="Z538" s="12"/>
      <c r="AA538" s="12">
        <f>+Y538-Z538</f>
        <v>0</v>
      </c>
      <c r="AB538" s="12"/>
      <c r="AC538" s="12">
        <f>+AA538*AB538/100</f>
        <v>0</v>
      </c>
      <c r="AD538" s="42"/>
      <c r="AE538" s="12"/>
    </row>
    <row r="539" spans="1:31" s="46" customFormat="1" ht="21">
      <c r="A539" s="42"/>
      <c r="B539" s="42"/>
      <c r="C539" s="45"/>
      <c r="D539" s="31"/>
      <c r="E539" s="31"/>
      <c r="F539" s="47"/>
      <c r="G539" s="42"/>
      <c r="H539" s="42"/>
      <c r="I539" s="44"/>
      <c r="J539" s="44">
        <f>+I539+(H539*100)+(G539*400)</f>
        <v>0</v>
      </c>
      <c r="K539" s="42"/>
      <c r="L539" s="42">
        <f t="shared" si="338"/>
        <v>0</v>
      </c>
      <c r="M539" s="42"/>
      <c r="N539" s="42"/>
      <c r="O539" s="101"/>
      <c r="P539" s="45"/>
      <c r="Q539" s="42"/>
      <c r="R539" s="42"/>
      <c r="S539" s="42"/>
      <c r="T539" s="12">
        <f>+Q539*S539</f>
        <v>0</v>
      </c>
      <c r="U539" s="45"/>
      <c r="V539" s="12">
        <f>+T539*0</f>
        <v>0</v>
      </c>
      <c r="W539" s="12">
        <f>+T539-V539</f>
        <v>0</v>
      </c>
      <c r="X539" s="12"/>
      <c r="Y539" s="12">
        <f t="shared" si="331"/>
        <v>0</v>
      </c>
      <c r="Z539" s="12"/>
      <c r="AA539" s="12">
        <f>+Y539-Z539</f>
        <v>0</v>
      </c>
      <c r="AB539" s="12"/>
      <c r="AC539" s="12">
        <f>+AA539*AB539/100</f>
        <v>0</v>
      </c>
      <c r="AD539" s="42"/>
      <c r="AE539" s="12"/>
    </row>
    <row r="540" spans="1:31" s="46" customFormat="1" ht="21">
      <c r="A540" s="42" t="s">
        <v>0</v>
      </c>
      <c r="B540" s="42" t="s">
        <v>1</v>
      </c>
      <c r="C540" s="45" t="s">
        <v>1538</v>
      </c>
      <c r="D540" s="45" t="s">
        <v>412</v>
      </c>
      <c r="E540" s="29" t="s">
        <v>907</v>
      </c>
      <c r="F540" s="47" t="s">
        <v>137</v>
      </c>
      <c r="G540" s="42"/>
      <c r="H540" s="42"/>
      <c r="I540" s="44">
        <v>18</v>
      </c>
      <c r="J540" s="44">
        <f aca="true" t="shared" si="343" ref="J540:J545">+I540+(H540*100)+(G540*400)</f>
        <v>18</v>
      </c>
      <c r="K540" s="42">
        <v>15000</v>
      </c>
      <c r="L540" s="42">
        <f t="shared" si="338"/>
        <v>270000</v>
      </c>
      <c r="M540" s="42"/>
      <c r="N540" s="42" t="s">
        <v>62</v>
      </c>
      <c r="O540" s="101" t="s">
        <v>446</v>
      </c>
      <c r="P540" s="45">
        <v>2</v>
      </c>
      <c r="Q540" s="100">
        <v>88</v>
      </c>
      <c r="R540" s="100"/>
      <c r="S540" s="42">
        <v>6750</v>
      </c>
      <c r="T540" s="12">
        <f aca="true" t="shared" si="344" ref="T540:T545">+Q540*S540</f>
        <v>594000</v>
      </c>
      <c r="U540" s="102" t="s">
        <v>92</v>
      </c>
      <c r="V540" s="12">
        <f>+T540*0.42</f>
        <v>249480</v>
      </c>
      <c r="W540" s="12">
        <f aca="true" t="shared" si="345" ref="W540:W545">+T540-V540</f>
        <v>344520</v>
      </c>
      <c r="X540" s="116"/>
      <c r="Y540" s="117">
        <f t="shared" si="331"/>
        <v>614520</v>
      </c>
      <c r="Z540" s="12"/>
      <c r="AA540" s="12">
        <f aca="true" t="shared" si="346" ref="AA540:AA545">+Y540-Z540</f>
        <v>614520</v>
      </c>
      <c r="AB540" s="12">
        <v>0.02</v>
      </c>
      <c r="AC540" s="12">
        <f aca="true" t="shared" si="347" ref="AC540:AC545">+AA540*AB540/100</f>
        <v>122.904</v>
      </c>
      <c r="AD540" s="42"/>
      <c r="AE540" s="12"/>
    </row>
    <row r="541" spans="1:31" s="46" customFormat="1" ht="21">
      <c r="A541" s="42"/>
      <c r="B541" s="42"/>
      <c r="C541" s="45"/>
      <c r="D541" s="31"/>
      <c r="E541" s="31"/>
      <c r="F541" s="47"/>
      <c r="G541" s="42"/>
      <c r="H541" s="42"/>
      <c r="I541" s="44"/>
      <c r="J541" s="44">
        <f t="shared" si="343"/>
        <v>0</v>
      </c>
      <c r="K541" s="42"/>
      <c r="L541" s="42">
        <f t="shared" si="338"/>
        <v>0</v>
      </c>
      <c r="M541" s="42"/>
      <c r="N541" s="42"/>
      <c r="O541" s="101"/>
      <c r="P541" s="45"/>
      <c r="Q541" s="42"/>
      <c r="R541" s="42"/>
      <c r="S541" s="42"/>
      <c r="T541" s="12">
        <f t="shared" si="344"/>
        <v>0</v>
      </c>
      <c r="U541" s="45"/>
      <c r="V541" s="12">
        <f>+T541*0</f>
        <v>0</v>
      </c>
      <c r="W541" s="12">
        <f t="shared" si="345"/>
        <v>0</v>
      </c>
      <c r="X541" s="12"/>
      <c r="Y541" s="12">
        <f t="shared" si="331"/>
        <v>0</v>
      </c>
      <c r="Z541" s="12"/>
      <c r="AA541" s="12">
        <f t="shared" si="346"/>
        <v>0</v>
      </c>
      <c r="AB541" s="12"/>
      <c r="AC541" s="12">
        <f t="shared" si="347"/>
        <v>0</v>
      </c>
      <c r="AD541" s="42"/>
      <c r="AE541" s="12"/>
    </row>
    <row r="542" spans="1:31" s="46" customFormat="1" ht="21">
      <c r="A542" s="42"/>
      <c r="B542" s="42"/>
      <c r="C542" s="45"/>
      <c r="D542" s="31"/>
      <c r="E542" s="31"/>
      <c r="F542" s="47"/>
      <c r="G542" s="42"/>
      <c r="H542" s="42"/>
      <c r="I542" s="44"/>
      <c r="J542" s="44">
        <f t="shared" si="343"/>
        <v>0</v>
      </c>
      <c r="K542" s="42"/>
      <c r="L542" s="42">
        <f t="shared" si="338"/>
        <v>0</v>
      </c>
      <c r="M542" s="42"/>
      <c r="N542" s="42"/>
      <c r="O542" s="101"/>
      <c r="P542" s="45"/>
      <c r="Q542" s="42"/>
      <c r="R542" s="42"/>
      <c r="S542" s="42"/>
      <c r="T542" s="12">
        <f t="shared" si="344"/>
        <v>0</v>
      </c>
      <c r="U542" s="45"/>
      <c r="V542" s="12">
        <f>+T542*0</f>
        <v>0</v>
      </c>
      <c r="W542" s="12">
        <f t="shared" si="345"/>
        <v>0</v>
      </c>
      <c r="X542" s="12"/>
      <c r="Y542" s="12">
        <f t="shared" si="331"/>
        <v>0</v>
      </c>
      <c r="Z542" s="12"/>
      <c r="AA542" s="12">
        <f t="shared" si="346"/>
        <v>0</v>
      </c>
      <c r="AB542" s="12"/>
      <c r="AC542" s="12">
        <f t="shared" si="347"/>
        <v>0</v>
      </c>
      <c r="AD542" s="42"/>
      <c r="AE542" s="12"/>
    </row>
    <row r="543" spans="1:31" s="46" customFormat="1" ht="21">
      <c r="A543" s="42" t="s">
        <v>0</v>
      </c>
      <c r="B543" s="42" t="s">
        <v>1</v>
      </c>
      <c r="C543" s="45" t="s">
        <v>1539</v>
      </c>
      <c r="D543" s="45" t="s">
        <v>413</v>
      </c>
      <c r="E543" s="29" t="s">
        <v>907</v>
      </c>
      <c r="F543" s="47" t="s">
        <v>137</v>
      </c>
      <c r="G543" s="42"/>
      <c r="H543" s="42"/>
      <c r="I543" s="44">
        <v>19.7</v>
      </c>
      <c r="J543" s="44">
        <f>+I543+(H543*100)+(G543*400)</f>
        <v>19.7</v>
      </c>
      <c r="K543" s="42">
        <v>9000</v>
      </c>
      <c r="L543" s="42">
        <f>+K543*J543</f>
        <v>177300</v>
      </c>
      <c r="M543" s="42"/>
      <c r="N543" s="42" t="s">
        <v>62</v>
      </c>
      <c r="O543" s="101" t="s">
        <v>446</v>
      </c>
      <c r="P543" s="45">
        <v>2</v>
      </c>
      <c r="Q543" s="100">
        <v>40</v>
      </c>
      <c r="R543" s="100"/>
      <c r="S543" s="42">
        <v>6750</v>
      </c>
      <c r="T543" s="12">
        <f>+Q543*S543</f>
        <v>270000</v>
      </c>
      <c r="U543" s="102" t="s">
        <v>78</v>
      </c>
      <c r="V543" s="12">
        <f>+T543*0.24</f>
        <v>64800</v>
      </c>
      <c r="W543" s="12">
        <f>+T543-V543</f>
        <v>205200</v>
      </c>
      <c r="X543" s="116"/>
      <c r="Y543" s="117">
        <f t="shared" si="331"/>
        <v>382500</v>
      </c>
      <c r="Z543" s="12">
        <f>+Y543</f>
        <v>382500</v>
      </c>
      <c r="AA543" s="12">
        <f>+Y543-Z543</f>
        <v>0</v>
      </c>
      <c r="AB543" s="12"/>
      <c r="AC543" s="12">
        <f>+AA543*AB543/100</f>
        <v>0</v>
      </c>
      <c r="AD543" s="42" t="s">
        <v>906</v>
      </c>
      <c r="AE543" s="12"/>
    </row>
    <row r="544" spans="1:31" s="46" customFormat="1" ht="21">
      <c r="A544" s="42"/>
      <c r="B544" s="42"/>
      <c r="C544" s="45"/>
      <c r="D544" s="31"/>
      <c r="E544" s="31"/>
      <c r="F544" s="47"/>
      <c r="G544" s="42"/>
      <c r="H544" s="42"/>
      <c r="I544" s="44"/>
      <c r="J544" s="44">
        <f>+I544+(H544*100)+(G544*400)</f>
        <v>0</v>
      </c>
      <c r="K544" s="42"/>
      <c r="L544" s="42">
        <f>+K544*J544</f>
        <v>0</v>
      </c>
      <c r="M544" s="42"/>
      <c r="N544" s="42"/>
      <c r="O544" s="101"/>
      <c r="P544" s="45"/>
      <c r="Q544" s="42"/>
      <c r="R544" s="42"/>
      <c r="S544" s="42"/>
      <c r="T544" s="12">
        <f>+Q544*S544</f>
        <v>0</v>
      </c>
      <c r="U544" s="45"/>
      <c r="V544" s="12">
        <f>+T544*0</f>
        <v>0</v>
      </c>
      <c r="W544" s="12">
        <f>+T544-V544</f>
        <v>0</v>
      </c>
      <c r="X544" s="12"/>
      <c r="Y544" s="12">
        <f t="shared" si="331"/>
        <v>0</v>
      </c>
      <c r="Z544" s="12"/>
      <c r="AA544" s="12">
        <f>+Y544-Z544</f>
        <v>0</v>
      </c>
      <c r="AB544" s="12"/>
      <c r="AC544" s="12">
        <f>+AA544*AB544/100</f>
        <v>0</v>
      </c>
      <c r="AD544" s="42"/>
      <c r="AE544" s="12"/>
    </row>
    <row r="545" spans="1:31" s="46" customFormat="1" ht="21">
      <c r="A545" s="42"/>
      <c r="B545" s="42"/>
      <c r="C545" s="45"/>
      <c r="D545" s="31"/>
      <c r="E545" s="31"/>
      <c r="F545" s="47"/>
      <c r="G545" s="42"/>
      <c r="H545" s="42"/>
      <c r="I545" s="44"/>
      <c r="J545" s="44">
        <f t="shared" si="343"/>
        <v>0</v>
      </c>
      <c r="K545" s="42"/>
      <c r="L545" s="42">
        <f t="shared" si="338"/>
        <v>0</v>
      </c>
      <c r="M545" s="42"/>
      <c r="N545" s="42"/>
      <c r="O545" s="101"/>
      <c r="P545" s="45"/>
      <c r="Q545" s="42"/>
      <c r="R545" s="42"/>
      <c r="S545" s="42"/>
      <c r="T545" s="12">
        <f t="shared" si="344"/>
        <v>0</v>
      </c>
      <c r="U545" s="45"/>
      <c r="V545" s="12">
        <f>+T545*0</f>
        <v>0</v>
      </c>
      <c r="W545" s="12">
        <f t="shared" si="345"/>
        <v>0</v>
      </c>
      <c r="X545" s="12"/>
      <c r="Y545" s="12">
        <f t="shared" si="331"/>
        <v>0</v>
      </c>
      <c r="Z545" s="12"/>
      <c r="AA545" s="12">
        <f t="shared" si="346"/>
        <v>0</v>
      </c>
      <c r="AB545" s="12"/>
      <c r="AC545" s="12">
        <f t="shared" si="347"/>
        <v>0</v>
      </c>
      <c r="AD545" s="42"/>
      <c r="AE545" s="12"/>
    </row>
    <row r="546" spans="1:31" s="46" customFormat="1" ht="21">
      <c r="A546" s="42" t="s">
        <v>0</v>
      </c>
      <c r="B546" s="42" t="s">
        <v>1</v>
      </c>
      <c r="C546" s="45" t="s">
        <v>1540</v>
      </c>
      <c r="D546" s="51" t="s">
        <v>414</v>
      </c>
      <c r="E546" s="29" t="s">
        <v>907</v>
      </c>
      <c r="F546" s="47" t="s">
        <v>143</v>
      </c>
      <c r="G546" s="42"/>
      <c r="H546" s="42"/>
      <c r="I546" s="44">
        <v>24.6</v>
      </c>
      <c r="J546" s="44">
        <f aca="true" t="shared" si="348" ref="J546:J551">+I546+(H546*100)+(G546*400)</f>
        <v>24.6</v>
      </c>
      <c r="K546" s="42">
        <v>20000</v>
      </c>
      <c r="L546" s="42">
        <f t="shared" si="338"/>
        <v>492000</v>
      </c>
      <c r="M546" s="42"/>
      <c r="N546" s="42" t="s">
        <v>60</v>
      </c>
      <c r="O546" s="101" t="s">
        <v>446</v>
      </c>
      <c r="P546" s="45">
        <v>3</v>
      </c>
      <c r="Q546" s="100">
        <v>128</v>
      </c>
      <c r="R546" s="100"/>
      <c r="S546" s="42">
        <v>7550</v>
      </c>
      <c r="T546" s="12">
        <f aca="true" t="shared" si="349" ref="T546:T551">+Q546*S546</f>
        <v>966400</v>
      </c>
      <c r="U546" s="102" t="s">
        <v>82</v>
      </c>
      <c r="V546" s="12">
        <f>+T546*0.16</f>
        <v>154624</v>
      </c>
      <c r="W546" s="12">
        <f aca="true" t="shared" si="350" ref="W546:W551">+T546-V546</f>
        <v>811776</v>
      </c>
      <c r="X546" s="116"/>
      <c r="Y546" s="117">
        <f t="shared" si="331"/>
        <v>1303776</v>
      </c>
      <c r="Z546" s="12"/>
      <c r="AA546" s="12">
        <f aca="true" t="shared" si="351" ref="AA546:AA551">+Y546-Z546</f>
        <v>1303776</v>
      </c>
      <c r="AB546" s="12">
        <v>0.3</v>
      </c>
      <c r="AC546" s="12">
        <f aca="true" t="shared" si="352" ref="AC546:AC551">+AA546*AB546/100</f>
        <v>3911.328</v>
      </c>
      <c r="AD546" s="42"/>
      <c r="AE546" s="12"/>
    </row>
    <row r="547" spans="1:31" s="46" customFormat="1" ht="21">
      <c r="A547" s="42"/>
      <c r="B547" s="42"/>
      <c r="C547" s="45"/>
      <c r="D547" s="31"/>
      <c r="E547" s="31"/>
      <c r="F547" s="47"/>
      <c r="G547" s="42"/>
      <c r="H547" s="42"/>
      <c r="I547" s="44"/>
      <c r="J547" s="44">
        <f>+I547+(H547*100)+(G547*400)</f>
        <v>0</v>
      </c>
      <c r="K547" s="42"/>
      <c r="L547" s="42">
        <f>+K547*J547</f>
        <v>0</v>
      </c>
      <c r="M547" s="42"/>
      <c r="N547" s="42"/>
      <c r="O547" s="101"/>
      <c r="P547" s="45"/>
      <c r="Q547" s="42"/>
      <c r="R547" s="42"/>
      <c r="S547" s="42"/>
      <c r="T547" s="12">
        <f>+Q547*S547</f>
        <v>0</v>
      </c>
      <c r="U547" s="45"/>
      <c r="V547" s="12">
        <f>+T547*0</f>
        <v>0</v>
      </c>
      <c r="W547" s="12">
        <f>+T547-V547</f>
        <v>0</v>
      </c>
      <c r="X547" s="12"/>
      <c r="Y547" s="12">
        <f t="shared" si="331"/>
        <v>0</v>
      </c>
      <c r="Z547" s="12"/>
      <c r="AA547" s="12">
        <f>+Y547-Z547</f>
        <v>0</v>
      </c>
      <c r="AB547" s="12"/>
      <c r="AC547" s="12">
        <f>+AA547*AB547/100</f>
        <v>0</v>
      </c>
      <c r="AD547" s="42"/>
      <c r="AE547" s="12"/>
    </row>
    <row r="548" spans="1:31" s="46" customFormat="1" ht="21">
      <c r="A548" s="42"/>
      <c r="B548" s="42"/>
      <c r="C548" s="45"/>
      <c r="D548" s="31"/>
      <c r="E548" s="31"/>
      <c r="F548" s="47"/>
      <c r="G548" s="42"/>
      <c r="H548" s="42"/>
      <c r="I548" s="44"/>
      <c r="J548" s="44">
        <f t="shared" si="348"/>
        <v>0</v>
      </c>
      <c r="K548" s="42"/>
      <c r="L548" s="42">
        <f t="shared" si="338"/>
        <v>0</v>
      </c>
      <c r="M548" s="42"/>
      <c r="N548" s="42"/>
      <c r="O548" s="101"/>
      <c r="P548" s="45"/>
      <c r="Q548" s="42"/>
      <c r="R548" s="42"/>
      <c r="S548" s="42"/>
      <c r="T548" s="12">
        <f t="shared" si="349"/>
        <v>0</v>
      </c>
      <c r="U548" s="45"/>
      <c r="V548" s="12">
        <f>+T548*0</f>
        <v>0</v>
      </c>
      <c r="W548" s="12">
        <f t="shared" si="350"/>
        <v>0</v>
      </c>
      <c r="X548" s="12"/>
      <c r="Y548" s="12">
        <f t="shared" si="331"/>
        <v>0</v>
      </c>
      <c r="Z548" s="12"/>
      <c r="AA548" s="12">
        <f t="shared" si="351"/>
        <v>0</v>
      </c>
      <c r="AB548" s="12"/>
      <c r="AC548" s="12">
        <f t="shared" si="352"/>
        <v>0</v>
      </c>
      <c r="AD548" s="42"/>
      <c r="AE548" s="12"/>
    </row>
    <row r="549" spans="1:31" s="46" customFormat="1" ht="21">
      <c r="A549" s="42" t="s">
        <v>0</v>
      </c>
      <c r="B549" s="42" t="s">
        <v>1</v>
      </c>
      <c r="C549" s="45" t="s">
        <v>1541</v>
      </c>
      <c r="D549" s="51" t="s">
        <v>415</v>
      </c>
      <c r="E549" s="29" t="s">
        <v>907</v>
      </c>
      <c r="F549" s="47" t="s">
        <v>143</v>
      </c>
      <c r="G549" s="42"/>
      <c r="H549" s="42"/>
      <c r="I549" s="44">
        <v>19</v>
      </c>
      <c r="J549" s="44">
        <f>+I549+(H549*100)+(G549*400)</f>
        <v>19</v>
      </c>
      <c r="K549" s="42">
        <v>30000</v>
      </c>
      <c r="L549" s="42">
        <f t="shared" si="338"/>
        <v>570000</v>
      </c>
      <c r="M549" s="42"/>
      <c r="N549" s="42" t="s">
        <v>60</v>
      </c>
      <c r="O549" s="101" t="s">
        <v>446</v>
      </c>
      <c r="P549" s="45">
        <v>3</v>
      </c>
      <c r="Q549" s="100">
        <v>192</v>
      </c>
      <c r="R549" s="100"/>
      <c r="S549" s="42">
        <v>7550</v>
      </c>
      <c r="T549" s="12">
        <f>+Q549*S549</f>
        <v>1449600</v>
      </c>
      <c r="U549" s="45" t="s">
        <v>144</v>
      </c>
      <c r="V549" s="12">
        <f>+T549*0.07</f>
        <v>101472.00000000001</v>
      </c>
      <c r="W549" s="12">
        <f>+T549-V549</f>
        <v>1348128</v>
      </c>
      <c r="X549" s="116"/>
      <c r="Y549" s="117">
        <f t="shared" si="331"/>
        <v>1918128</v>
      </c>
      <c r="Z549" s="12"/>
      <c r="AA549" s="12">
        <f>+Y549-Z549</f>
        <v>1918128</v>
      </c>
      <c r="AB549" s="12">
        <v>0.3</v>
      </c>
      <c r="AC549" s="12">
        <f>+AA549*AB549/100</f>
        <v>5754.384</v>
      </c>
      <c r="AD549" s="42"/>
      <c r="AE549" s="12"/>
    </row>
    <row r="550" spans="1:31" s="46" customFormat="1" ht="21">
      <c r="A550" s="42"/>
      <c r="B550" s="42"/>
      <c r="C550" s="45"/>
      <c r="D550" s="31"/>
      <c r="E550" s="31"/>
      <c r="F550" s="47"/>
      <c r="G550" s="42"/>
      <c r="H550" s="42"/>
      <c r="I550" s="44"/>
      <c r="J550" s="44">
        <f>+I550+(H550*100)+(G550*400)</f>
        <v>0</v>
      </c>
      <c r="K550" s="42"/>
      <c r="L550" s="42">
        <f t="shared" si="338"/>
        <v>0</v>
      </c>
      <c r="M550" s="42"/>
      <c r="N550" s="42"/>
      <c r="O550" s="101"/>
      <c r="P550" s="45"/>
      <c r="Q550" s="42"/>
      <c r="R550" s="42"/>
      <c r="S550" s="42"/>
      <c r="T550" s="12">
        <f>+Q550*S550</f>
        <v>0</v>
      </c>
      <c r="U550" s="45"/>
      <c r="V550" s="12">
        <f aca="true" t="shared" si="353" ref="V550:V561">+T550*0</f>
        <v>0</v>
      </c>
      <c r="W550" s="12">
        <f>+T550-V550</f>
        <v>0</v>
      </c>
      <c r="X550" s="12"/>
      <c r="Y550" s="12">
        <f aca="true" t="shared" si="354" ref="Y550:Y581">+L550+W550</f>
        <v>0</v>
      </c>
      <c r="Z550" s="12"/>
      <c r="AA550" s="12">
        <f>+Y550-Z550</f>
        <v>0</v>
      </c>
      <c r="AB550" s="12"/>
      <c r="AC550" s="12">
        <f>+AA550*AB550/100</f>
        <v>0</v>
      </c>
      <c r="AD550" s="42"/>
      <c r="AE550" s="12"/>
    </row>
    <row r="551" spans="1:31" s="46" customFormat="1" ht="21">
      <c r="A551" s="42"/>
      <c r="B551" s="42"/>
      <c r="C551" s="45"/>
      <c r="D551" s="31"/>
      <c r="E551" s="31"/>
      <c r="F551" s="47"/>
      <c r="G551" s="42"/>
      <c r="H551" s="42"/>
      <c r="I551" s="44"/>
      <c r="J551" s="44">
        <f t="shared" si="348"/>
        <v>0</v>
      </c>
      <c r="K551" s="42"/>
      <c r="L551" s="42">
        <f t="shared" si="338"/>
        <v>0</v>
      </c>
      <c r="M551" s="42"/>
      <c r="N551" s="42"/>
      <c r="O551" s="101"/>
      <c r="P551" s="45"/>
      <c r="Q551" s="42"/>
      <c r="R551" s="42"/>
      <c r="S551" s="42"/>
      <c r="T551" s="12">
        <f t="shared" si="349"/>
        <v>0</v>
      </c>
      <c r="U551" s="45"/>
      <c r="V551" s="12">
        <f t="shared" si="353"/>
        <v>0</v>
      </c>
      <c r="W551" s="12">
        <f t="shared" si="350"/>
        <v>0</v>
      </c>
      <c r="X551" s="12"/>
      <c r="Y551" s="12">
        <f t="shared" si="354"/>
        <v>0</v>
      </c>
      <c r="Z551" s="12"/>
      <c r="AA551" s="12">
        <f t="shared" si="351"/>
        <v>0</v>
      </c>
      <c r="AB551" s="12"/>
      <c r="AC551" s="12">
        <f t="shared" si="352"/>
        <v>0</v>
      </c>
      <c r="AD551" s="42"/>
      <c r="AE551" s="12"/>
    </row>
    <row r="552" spans="1:31" s="46" customFormat="1" ht="21">
      <c r="A552" s="42" t="s">
        <v>0</v>
      </c>
      <c r="B552" s="42" t="s">
        <v>1</v>
      </c>
      <c r="C552" s="45" t="s">
        <v>1542</v>
      </c>
      <c r="D552" s="45" t="s">
        <v>416</v>
      </c>
      <c r="E552" s="10" t="s">
        <v>909</v>
      </c>
      <c r="F552" s="47" t="s">
        <v>143</v>
      </c>
      <c r="G552" s="42"/>
      <c r="H552" s="42">
        <v>1</v>
      </c>
      <c r="I552" s="44">
        <v>25.6</v>
      </c>
      <c r="J552" s="44">
        <f aca="true" t="shared" si="355" ref="J552:J583">+I552+(H552*100)+(G552*400)</f>
        <v>125.6</v>
      </c>
      <c r="K552" s="42">
        <v>8000</v>
      </c>
      <c r="L552" s="42">
        <f>+K552*J552</f>
        <v>1004800</v>
      </c>
      <c r="M552" s="42"/>
      <c r="N552" s="125" t="s">
        <v>418</v>
      </c>
      <c r="O552" s="101"/>
      <c r="P552" s="45"/>
      <c r="Q552" s="42"/>
      <c r="R552" s="100"/>
      <c r="S552" s="42"/>
      <c r="T552" s="12">
        <f aca="true" t="shared" si="356" ref="T552:T583">+Q552*S552</f>
        <v>0</v>
      </c>
      <c r="U552" s="45"/>
      <c r="V552" s="12">
        <f t="shared" si="353"/>
        <v>0</v>
      </c>
      <c r="W552" s="12">
        <f aca="true" t="shared" si="357" ref="W552:W583">+T552-V552</f>
        <v>0</v>
      </c>
      <c r="X552" s="116"/>
      <c r="Y552" s="117">
        <f t="shared" si="354"/>
        <v>1004800</v>
      </c>
      <c r="Z552" s="12"/>
      <c r="AA552" s="12">
        <f aca="true" t="shared" si="358" ref="AA552:AA583">+Y552-Z552</f>
        <v>1004800</v>
      </c>
      <c r="AB552" s="12">
        <v>0.3</v>
      </c>
      <c r="AC552" s="12">
        <f aca="true" t="shared" si="359" ref="AC552:AC583">+AA552*AB552/100</f>
        <v>3014.4</v>
      </c>
      <c r="AD552" s="42"/>
      <c r="AE552" s="12"/>
    </row>
    <row r="553" spans="1:31" s="46" customFormat="1" ht="21">
      <c r="A553" s="42" t="s">
        <v>0</v>
      </c>
      <c r="B553" s="42" t="s">
        <v>1</v>
      </c>
      <c r="C553" s="45" t="s">
        <v>1543</v>
      </c>
      <c r="D553" s="45" t="s">
        <v>417</v>
      </c>
      <c r="E553" s="10" t="s">
        <v>909</v>
      </c>
      <c r="F553" s="47" t="s">
        <v>143</v>
      </c>
      <c r="G553" s="42"/>
      <c r="H553" s="42"/>
      <c r="I553" s="44">
        <v>86</v>
      </c>
      <c r="J553" s="44">
        <f t="shared" si="355"/>
        <v>86</v>
      </c>
      <c r="K553" s="42">
        <v>8000</v>
      </c>
      <c r="L553" s="42">
        <f>+K553*J553</f>
        <v>688000</v>
      </c>
      <c r="M553" s="42"/>
      <c r="N553" s="125" t="s">
        <v>418</v>
      </c>
      <c r="O553" s="101"/>
      <c r="P553" s="45"/>
      <c r="Q553" s="42"/>
      <c r="R553" s="100"/>
      <c r="S553" s="42"/>
      <c r="T553" s="12">
        <f t="shared" si="356"/>
        <v>0</v>
      </c>
      <c r="U553" s="45"/>
      <c r="V553" s="12">
        <f t="shared" si="353"/>
        <v>0</v>
      </c>
      <c r="W553" s="12">
        <f t="shared" si="357"/>
        <v>0</v>
      </c>
      <c r="X553" s="116"/>
      <c r="Y553" s="117">
        <f t="shared" si="354"/>
        <v>688000</v>
      </c>
      <c r="Z553" s="12"/>
      <c r="AA553" s="12">
        <f t="shared" si="358"/>
        <v>688000</v>
      </c>
      <c r="AB553" s="12">
        <v>0.3</v>
      </c>
      <c r="AC553" s="12">
        <f t="shared" si="359"/>
        <v>2064</v>
      </c>
      <c r="AD553" s="42"/>
      <c r="AE553" s="12"/>
    </row>
    <row r="554" spans="1:31" s="46" customFormat="1" ht="21">
      <c r="A554" s="42"/>
      <c r="B554" s="42"/>
      <c r="C554" s="45"/>
      <c r="D554" s="31"/>
      <c r="E554" s="31"/>
      <c r="F554" s="47"/>
      <c r="G554" s="42"/>
      <c r="H554" s="42"/>
      <c r="I554" s="44"/>
      <c r="J554" s="44">
        <f t="shared" si="355"/>
        <v>0</v>
      </c>
      <c r="K554" s="42"/>
      <c r="L554" s="42">
        <f aca="true" t="shared" si="360" ref="L554:L567">+K554*J554</f>
        <v>0</v>
      </c>
      <c r="M554" s="42"/>
      <c r="N554" s="42"/>
      <c r="O554" s="101"/>
      <c r="P554" s="45"/>
      <c r="Q554" s="42"/>
      <c r="R554" s="42"/>
      <c r="S554" s="42"/>
      <c r="T554" s="12">
        <f t="shared" si="356"/>
        <v>0</v>
      </c>
      <c r="U554" s="45"/>
      <c r="V554" s="12">
        <f t="shared" si="353"/>
        <v>0</v>
      </c>
      <c r="W554" s="12">
        <f t="shared" si="357"/>
        <v>0</v>
      </c>
      <c r="X554" s="12"/>
      <c r="Y554" s="12">
        <f t="shared" si="354"/>
        <v>0</v>
      </c>
      <c r="Z554" s="12"/>
      <c r="AA554" s="12">
        <f t="shared" si="358"/>
        <v>0</v>
      </c>
      <c r="AB554" s="12"/>
      <c r="AC554" s="12">
        <f t="shared" si="359"/>
        <v>0</v>
      </c>
      <c r="AD554" s="42"/>
      <c r="AE554" s="12"/>
    </row>
    <row r="555" spans="1:31" s="46" customFormat="1" ht="21">
      <c r="A555" s="42"/>
      <c r="B555" s="42"/>
      <c r="C555" s="45"/>
      <c r="D555" s="31"/>
      <c r="E555" s="31"/>
      <c r="F555" s="47"/>
      <c r="G555" s="42"/>
      <c r="H555" s="42"/>
      <c r="I555" s="44"/>
      <c r="J555" s="44">
        <f t="shared" si="355"/>
        <v>0</v>
      </c>
      <c r="K555" s="42"/>
      <c r="L555" s="42">
        <f t="shared" si="360"/>
        <v>0</v>
      </c>
      <c r="M555" s="42"/>
      <c r="N555" s="42"/>
      <c r="O555" s="101"/>
      <c r="P555" s="45"/>
      <c r="Q555" s="42"/>
      <c r="R555" s="42"/>
      <c r="S555" s="42"/>
      <c r="T555" s="12">
        <f t="shared" si="356"/>
        <v>0</v>
      </c>
      <c r="U555" s="45"/>
      <c r="V555" s="12">
        <f t="shared" si="353"/>
        <v>0</v>
      </c>
      <c r="W555" s="12">
        <f t="shared" si="357"/>
        <v>0</v>
      </c>
      <c r="X555" s="12"/>
      <c r="Y555" s="12">
        <f t="shared" si="354"/>
        <v>0</v>
      </c>
      <c r="Z555" s="12"/>
      <c r="AA555" s="12">
        <f t="shared" si="358"/>
        <v>0</v>
      </c>
      <c r="AB555" s="12"/>
      <c r="AC555" s="12">
        <f t="shared" si="359"/>
        <v>0</v>
      </c>
      <c r="AD555" s="42"/>
      <c r="AE555" s="12"/>
    </row>
    <row r="556" spans="1:31" s="46" customFormat="1" ht="21">
      <c r="A556" s="42" t="s">
        <v>0</v>
      </c>
      <c r="B556" s="42" t="s">
        <v>1</v>
      </c>
      <c r="C556" s="45" t="s">
        <v>1544</v>
      </c>
      <c r="D556" s="45" t="s">
        <v>419</v>
      </c>
      <c r="E556" s="29" t="s">
        <v>907</v>
      </c>
      <c r="F556" s="47" t="s">
        <v>140</v>
      </c>
      <c r="G556" s="42"/>
      <c r="H556" s="42"/>
      <c r="I556" s="44">
        <v>50.7</v>
      </c>
      <c r="J556" s="44">
        <f t="shared" si="355"/>
        <v>50.7</v>
      </c>
      <c r="K556" s="42">
        <v>6000</v>
      </c>
      <c r="L556" s="42">
        <f t="shared" si="360"/>
        <v>304200</v>
      </c>
      <c r="M556" s="42"/>
      <c r="N556" s="42"/>
      <c r="O556" s="101"/>
      <c r="P556" s="45"/>
      <c r="Q556" s="42"/>
      <c r="R556" s="100"/>
      <c r="S556" s="42"/>
      <c r="T556" s="12">
        <f t="shared" si="356"/>
        <v>0</v>
      </c>
      <c r="U556" s="45"/>
      <c r="V556" s="12">
        <f t="shared" si="353"/>
        <v>0</v>
      </c>
      <c r="W556" s="12">
        <f t="shared" si="357"/>
        <v>0</v>
      </c>
      <c r="X556" s="116"/>
      <c r="Y556" s="117">
        <f t="shared" si="354"/>
        <v>304200</v>
      </c>
      <c r="Z556" s="12"/>
      <c r="AA556" s="12">
        <f t="shared" si="358"/>
        <v>304200</v>
      </c>
      <c r="AB556" s="12">
        <v>0.3</v>
      </c>
      <c r="AC556" s="12">
        <f t="shared" si="359"/>
        <v>912.6</v>
      </c>
      <c r="AD556" s="42"/>
      <c r="AE556" s="12"/>
    </row>
    <row r="557" spans="1:31" s="46" customFormat="1" ht="21">
      <c r="A557" s="42"/>
      <c r="B557" s="42"/>
      <c r="C557" s="45"/>
      <c r="D557" s="31"/>
      <c r="E557" s="31"/>
      <c r="F557" s="47"/>
      <c r="G557" s="42"/>
      <c r="H557" s="42"/>
      <c r="I557" s="44"/>
      <c r="J557" s="44">
        <f t="shared" si="355"/>
        <v>0</v>
      </c>
      <c r="K557" s="42"/>
      <c r="L557" s="42">
        <f t="shared" si="360"/>
        <v>0</v>
      </c>
      <c r="M557" s="42"/>
      <c r="N557" s="42"/>
      <c r="O557" s="101"/>
      <c r="P557" s="45"/>
      <c r="Q557" s="42"/>
      <c r="R557" s="42"/>
      <c r="S557" s="42"/>
      <c r="T557" s="12">
        <f t="shared" si="356"/>
        <v>0</v>
      </c>
      <c r="U557" s="45"/>
      <c r="V557" s="12">
        <f t="shared" si="353"/>
        <v>0</v>
      </c>
      <c r="W557" s="12">
        <f t="shared" si="357"/>
        <v>0</v>
      </c>
      <c r="X557" s="12"/>
      <c r="Y557" s="12">
        <f t="shared" si="354"/>
        <v>0</v>
      </c>
      <c r="Z557" s="12"/>
      <c r="AA557" s="12">
        <f t="shared" si="358"/>
        <v>0</v>
      </c>
      <c r="AB557" s="12"/>
      <c r="AC557" s="12">
        <f t="shared" si="359"/>
        <v>0</v>
      </c>
      <c r="AD557" s="42"/>
      <c r="AE557" s="12"/>
    </row>
    <row r="558" spans="1:31" s="46" customFormat="1" ht="21">
      <c r="A558" s="42"/>
      <c r="B558" s="42"/>
      <c r="C558" s="45"/>
      <c r="D558" s="31"/>
      <c r="E558" s="31"/>
      <c r="F558" s="47"/>
      <c r="G558" s="42"/>
      <c r="H558" s="42"/>
      <c r="I558" s="44"/>
      <c r="J558" s="44">
        <f t="shared" si="355"/>
        <v>0</v>
      </c>
      <c r="K558" s="42"/>
      <c r="L558" s="42">
        <f t="shared" si="360"/>
        <v>0</v>
      </c>
      <c r="M558" s="42"/>
      <c r="N558" s="42"/>
      <c r="O558" s="101"/>
      <c r="P558" s="45"/>
      <c r="Q558" s="42"/>
      <c r="R558" s="42"/>
      <c r="S558" s="42"/>
      <c r="T558" s="12">
        <f t="shared" si="356"/>
        <v>0</v>
      </c>
      <c r="U558" s="45"/>
      <c r="V558" s="12">
        <f t="shared" si="353"/>
        <v>0</v>
      </c>
      <c r="W558" s="12">
        <f t="shared" si="357"/>
        <v>0</v>
      </c>
      <c r="X558" s="12"/>
      <c r="Y558" s="12">
        <f t="shared" si="354"/>
        <v>0</v>
      </c>
      <c r="Z558" s="12"/>
      <c r="AA558" s="12">
        <f t="shared" si="358"/>
        <v>0</v>
      </c>
      <c r="AB558" s="12"/>
      <c r="AC558" s="12">
        <f t="shared" si="359"/>
        <v>0</v>
      </c>
      <c r="AD558" s="42"/>
      <c r="AE558" s="12"/>
    </row>
    <row r="559" spans="1:31" s="46" customFormat="1" ht="21">
      <c r="A559" s="42" t="s">
        <v>0</v>
      </c>
      <c r="B559" s="42" t="s">
        <v>1</v>
      </c>
      <c r="C559" s="45" t="s">
        <v>1545</v>
      </c>
      <c r="D559" s="45" t="s">
        <v>420</v>
      </c>
      <c r="E559" s="29" t="s">
        <v>907</v>
      </c>
      <c r="F559" s="47" t="s">
        <v>140</v>
      </c>
      <c r="G559" s="42"/>
      <c r="H559" s="42"/>
      <c r="I559" s="44">
        <v>50</v>
      </c>
      <c r="J559" s="44">
        <f t="shared" si="355"/>
        <v>50</v>
      </c>
      <c r="K559" s="42">
        <v>12000</v>
      </c>
      <c r="L559" s="42">
        <f t="shared" si="360"/>
        <v>600000</v>
      </c>
      <c r="M559" s="42"/>
      <c r="N559" s="42"/>
      <c r="O559" s="101"/>
      <c r="P559" s="45"/>
      <c r="Q559" s="42"/>
      <c r="R559" s="100"/>
      <c r="S559" s="42"/>
      <c r="T559" s="12">
        <f t="shared" si="356"/>
        <v>0</v>
      </c>
      <c r="U559" s="45"/>
      <c r="V559" s="12">
        <f t="shared" si="353"/>
        <v>0</v>
      </c>
      <c r="W559" s="12">
        <f t="shared" si="357"/>
        <v>0</v>
      </c>
      <c r="X559" s="116"/>
      <c r="Y559" s="117">
        <f t="shared" si="354"/>
        <v>600000</v>
      </c>
      <c r="Z559" s="12"/>
      <c r="AA559" s="12">
        <f t="shared" si="358"/>
        <v>600000</v>
      </c>
      <c r="AB559" s="12">
        <v>0.3</v>
      </c>
      <c r="AC559" s="12">
        <f t="shared" si="359"/>
        <v>1800</v>
      </c>
      <c r="AD559" s="42"/>
      <c r="AE559" s="12"/>
    </row>
    <row r="560" spans="1:31" s="46" customFormat="1" ht="21">
      <c r="A560" s="42"/>
      <c r="B560" s="42"/>
      <c r="C560" s="45"/>
      <c r="D560" s="31"/>
      <c r="E560" s="31"/>
      <c r="F560" s="47"/>
      <c r="G560" s="42"/>
      <c r="H560" s="42"/>
      <c r="I560" s="44"/>
      <c r="J560" s="44">
        <f t="shared" si="355"/>
        <v>0</v>
      </c>
      <c r="K560" s="42"/>
      <c r="L560" s="42">
        <f t="shared" si="360"/>
        <v>0</v>
      </c>
      <c r="M560" s="42"/>
      <c r="N560" s="42"/>
      <c r="O560" s="101"/>
      <c r="P560" s="45"/>
      <c r="Q560" s="42"/>
      <c r="R560" s="42"/>
      <c r="S560" s="42"/>
      <c r="T560" s="12">
        <f t="shared" si="356"/>
        <v>0</v>
      </c>
      <c r="U560" s="45"/>
      <c r="V560" s="12">
        <f t="shared" si="353"/>
        <v>0</v>
      </c>
      <c r="W560" s="12">
        <f t="shared" si="357"/>
        <v>0</v>
      </c>
      <c r="X560" s="12"/>
      <c r="Y560" s="12">
        <f t="shared" si="354"/>
        <v>0</v>
      </c>
      <c r="Z560" s="12"/>
      <c r="AA560" s="12">
        <f t="shared" si="358"/>
        <v>0</v>
      </c>
      <c r="AB560" s="12"/>
      <c r="AC560" s="12">
        <f t="shared" si="359"/>
        <v>0</v>
      </c>
      <c r="AD560" s="42"/>
      <c r="AE560" s="12"/>
    </row>
    <row r="561" spans="1:31" s="46" customFormat="1" ht="21">
      <c r="A561" s="42"/>
      <c r="B561" s="42"/>
      <c r="C561" s="45"/>
      <c r="D561" s="31"/>
      <c r="E561" s="31"/>
      <c r="F561" s="47"/>
      <c r="G561" s="42"/>
      <c r="H561" s="42"/>
      <c r="I561" s="44"/>
      <c r="J561" s="44">
        <f t="shared" si="355"/>
        <v>0</v>
      </c>
      <c r="K561" s="42"/>
      <c r="L561" s="42">
        <f t="shared" si="360"/>
        <v>0</v>
      </c>
      <c r="M561" s="42"/>
      <c r="N561" s="42"/>
      <c r="O561" s="101"/>
      <c r="P561" s="45"/>
      <c r="Q561" s="42"/>
      <c r="R561" s="42"/>
      <c r="S561" s="42"/>
      <c r="T561" s="12">
        <f t="shared" si="356"/>
        <v>0</v>
      </c>
      <c r="U561" s="45"/>
      <c r="V561" s="12">
        <f t="shared" si="353"/>
        <v>0</v>
      </c>
      <c r="W561" s="12">
        <f t="shared" si="357"/>
        <v>0</v>
      </c>
      <c r="X561" s="12"/>
      <c r="Y561" s="12">
        <f t="shared" si="354"/>
        <v>0</v>
      </c>
      <c r="Z561" s="12"/>
      <c r="AA561" s="12">
        <f t="shared" si="358"/>
        <v>0</v>
      </c>
      <c r="AB561" s="12"/>
      <c r="AC561" s="12">
        <f t="shared" si="359"/>
        <v>0</v>
      </c>
      <c r="AD561" s="42"/>
      <c r="AE561" s="12"/>
    </row>
    <row r="562" spans="1:31" s="46" customFormat="1" ht="21">
      <c r="A562" s="42" t="s">
        <v>0</v>
      </c>
      <c r="B562" s="42" t="s">
        <v>1</v>
      </c>
      <c r="C562" s="45" t="s">
        <v>1546</v>
      </c>
      <c r="D562" s="45" t="s">
        <v>421</v>
      </c>
      <c r="E562" s="29" t="s">
        <v>907</v>
      </c>
      <c r="F562" s="47" t="s">
        <v>137</v>
      </c>
      <c r="G562" s="42"/>
      <c r="H562" s="42"/>
      <c r="I562" s="44">
        <v>17</v>
      </c>
      <c r="J562" s="44">
        <f t="shared" si="355"/>
        <v>17</v>
      </c>
      <c r="K562" s="42">
        <v>25000</v>
      </c>
      <c r="L562" s="42">
        <f t="shared" si="360"/>
        <v>425000</v>
      </c>
      <c r="M562" s="42"/>
      <c r="N562" s="42" t="s">
        <v>60</v>
      </c>
      <c r="O562" s="101" t="s">
        <v>446</v>
      </c>
      <c r="P562" s="45">
        <v>2</v>
      </c>
      <c r="Q562" s="100">
        <v>136</v>
      </c>
      <c r="R562" s="100"/>
      <c r="S562" s="42">
        <v>7550</v>
      </c>
      <c r="T562" s="12">
        <f t="shared" si="356"/>
        <v>1026800</v>
      </c>
      <c r="U562" s="102" t="s">
        <v>93</v>
      </c>
      <c r="V562" s="12">
        <f>+T562*0.44</f>
        <v>451792</v>
      </c>
      <c r="W562" s="12">
        <f t="shared" si="357"/>
        <v>575008</v>
      </c>
      <c r="X562" s="116"/>
      <c r="Y562" s="117">
        <f t="shared" si="354"/>
        <v>1000008</v>
      </c>
      <c r="Z562" s="12">
        <f>+Y562</f>
        <v>1000008</v>
      </c>
      <c r="AA562" s="12">
        <f t="shared" si="358"/>
        <v>0</v>
      </c>
      <c r="AB562" s="12"/>
      <c r="AC562" s="12">
        <f t="shared" si="359"/>
        <v>0</v>
      </c>
      <c r="AD562" s="42" t="s">
        <v>906</v>
      </c>
      <c r="AE562" s="50"/>
    </row>
    <row r="563" spans="1:31" s="46" customFormat="1" ht="21">
      <c r="A563" s="42"/>
      <c r="B563" s="42"/>
      <c r="C563" s="45"/>
      <c r="D563" s="31"/>
      <c r="E563" s="31"/>
      <c r="F563" s="47"/>
      <c r="G563" s="42"/>
      <c r="H563" s="42"/>
      <c r="I563" s="44"/>
      <c r="J563" s="44">
        <f t="shared" si="355"/>
        <v>0</v>
      </c>
      <c r="K563" s="42"/>
      <c r="L563" s="42">
        <f t="shared" si="360"/>
        <v>0</v>
      </c>
      <c r="M563" s="42"/>
      <c r="N563" s="42"/>
      <c r="O563" s="101"/>
      <c r="P563" s="45"/>
      <c r="Q563" s="42"/>
      <c r="R563" s="42"/>
      <c r="S563" s="42"/>
      <c r="T563" s="12">
        <f t="shared" si="356"/>
        <v>0</v>
      </c>
      <c r="U563" s="45"/>
      <c r="V563" s="12">
        <f>+T563*0</f>
        <v>0</v>
      </c>
      <c r="W563" s="12">
        <f t="shared" si="357"/>
        <v>0</v>
      </c>
      <c r="X563" s="12"/>
      <c r="Y563" s="12">
        <f t="shared" si="354"/>
        <v>0</v>
      </c>
      <c r="Z563" s="12"/>
      <c r="AA563" s="12">
        <f t="shared" si="358"/>
        <v>0</v>
      </c>
      <c r="AB563" s="12"/>
      <c r="AC563" s="12">
        <f t="shared" si="359"/>
        <v>0</v>
      </c>
      <c r="AD563" s="42"/>
      <c r="AE563" s="12"/>
    </row>
    <row r="564" spans="1:31" s="46" customFormat="1" ht="21">
      <c r="A564" s="42"/>
      <c r="B564" s="42"/>
      <c r="C564" s="45"/>
      <c r="D564" s="31"/>
      <c r="E564" s="31"/>
      <c r="F564" s="47"/>
      <c r="G564" s="42"/>
      <c r="H564" s="42"/>
      <c r="I564" s="44"/>
      <c r="J564" s="44">
        <f t="shared" si="355"/>
        <v>0</v>
      </c>
      <c r="K564" s="42"/>
      <c r="L564" s="42">
        <f t="shared" si="360"/>
        <v>0</v>
      </c>
      <c r="M564" s="42"/>
      <c r="N564" s="42"/>
      <c r="O564" s="101"/>
      <c r="P564" s="45"/>
      <c r="Q564" s="42"/>
      <c r="R564" s="42"/>
      <c r="S564" s="42"/>
      <c r="T564" s="12">
        <f t="shared" si="356"/>
        <v>0</v>
      </c>
      <c r="U564" s="45"/>
      <c r="V564" s="12">
        <f>+T564*0</f>
        <v>0</v>
      </c>
      <c r="W564" s="12">
        <f t="shared" si="357"/>
        <v>0</v>
      </c>
      <c r="X564" s="12"/>
      <c r="Y564" s="12">
        <f t="shared" si="354"/>
        <v>0</v>
      </c>
      <c r="Z564" s="12"/>
      <c r="AA564" s="12">
        <f t="shared" si="358"/>
        <v>0</v>
      </c>
      <c r="AB564" s="12"/>
      <c r="AC564" s="12">
        <f t="shared" si="359"/>
        <v>0</v>
      </c>
      <c r="AD564" s="42"/>
      <c r="AE564" s="12"/>
    </row>
    <row r="565" spans="1:31" s="46" customFormat="1" ht="21">
      <c r="A565" s="42" t="s">
        <v>0</v>
      </c>
      <c r="B565" s="42" t="s">
        <v>1</v>
      </c>
      <c r="C565" s="45" t="s">
        <v>1547</v>
      </c>
      <c r="D565" s="45" t="s">
        <v>422</v>
      </c>
      <c r="E565" s="29" t="s">
        <v>907</v>
      </c>
      <c r="F565" s="47" t="s">
        <v>137</v>
      </c>
      <c r="G565" s="42"/>
      <c r="H565" s="42"/>
      <c r="I565" s="44">
        <v>22.5</v>
      </c>
      <c r="J565" s="44">
        <f t="shared" si="355"/>
        <v>22.5</v>
      </c>
      <c r="K565" s="42">
        <v>15000</v>
      </c>
      <c r="L565" s="42">
        <f t="shared" si="360"/>
        <v>337500</v>
      </c>
      <c r="M565" s="42"/>
      <c r="N565" s="42" t="s">
        <v>62</v>
      </c>
      <c r="O565" s="101" t="s">
        <v>446</v>
      </c>
      <c r="P565" s="45">
        <v>2</v>
      </c>
      <c r="Q565" s="100">
        <v>60</v>
      </c>
      <c r="R565" s="100"/>
      <c r="S565" s="42">
        <v>6750</v>
      </c>
      <c r="T565" s="12">
        <f t="shared" si="356"/>
        <v>405000</v>
      </c>
      <c r="U565" s="102" t="s">
        <v>91</v>
      </c>
      <c r="V565" s="12">
        <f>+T565*0.4</f>
        <v>162000</v>
      </c>
      <c r="W565" s="12">
        <f t="shared" si="357"/>
        <v>243000</v>
      </c>
      <c r="X565" s="116"/>
      <c r="Y565" s="117">
        <f t="shared" si="354"/>
        <v>580500</v>
      </c>
      <c r="Z565" s="12"/>
      <c r="AA565" s="12">
        <f t="shared" si="358"/>
        <v>580500</v>
      </c>
      <c r="AB565" s="12">
        <v>0.02</v>
      </c>
      <c r="AC565" s="12">
        <f t="shared" si="359"/>
        <v>116.1</v>
      </c>
      <c r="AD565" s="42"/>
      <c r="AE565" s="12"/>
    </row>
    <row r="566" spans="1:31" s="46" customFormat="1" ht="21">
      <c r="A566" s="42"/>
      <c r="B566" s="42"/>
      <c r="C566" s="45"/>
      <c r="D566" s="31"/>
      <c r="E566" s="31"/>
      <c r="F566" s="47"/>
      <c r="G566" s="42"/>
      <c r="H566" s="42"/>
      <c r="I566" s="44"/>
      <c r="J566" s="44">
        <f t="shared" si="355"/>
        <v>0</v>
      </c>
      <c r="K566" s="42"/>
      <c r="L566" s="42">
        <f t="shared" si="360"/>
        <v>0</v>
      </c>
      <c r="M566" s="42"/>
      <c r="N566" s="42"/>
      <c r="O566" s="101"/>
      <c r="P566" s="45"/>
      <c r="Q566" s="42"/>
      <c r="R566" s="42"/>
      <c r="S566" s="42"/>
      <c r="T566" s="12">
        <f t="shared" si="356"/>
        <v>0</v>
      </c>
      <c r="U566" s="45"/>
      <c r="V566" s="12">
        <f>+T566*0</f>
        <v>0</v>
      </c>
      <c r="W566" s="12">
        <f t="shared" si="357"/>
        <v>0</v>
      </c>
      <c r="X566" s="12"/>
      <c r="Y566" s="12">
        <f t="shared" si="354"/>
        <v>0</v>
      </c>
      <c r="Z566" s="12"/>
      <c r="AA566" s="12">
        <f t="shared" si="358"/>
        <v>0</v>
      </c>
      <c r="AB566" s="12"/>
      <c r="AC566" s="12">
        <f t="shared" si="359"/>
        <v>0</v>
      </c>
      <c r="AD566" s="42"/>
      <c r="AE566" s="12"/>
    </row>
    <row r="567" spans="1:31" s="46" customFormat="1" ht="21">
      <c r="A567" s="42"/>
      <c r="B567" s="42"/>
      <c r="C567" s="45"/>
      <c r="D567" s="31"/>
      <c r="E567" s="31"/>
      <c r="F567" s="47"/>
      <c r="G567" s="42"/>
      <c r="H567" s="42"/>
      <c r="I567" s="44"/>
      <c r="J567" s="44">
        <f t="shared" si="355"/>
        <v>0</v>
      </c>
      <c r="K567" s="42"/>
      <c r="L567" s="42">
        <f t="shared" si="360"/>
        <v>0</v>
      </c>
      <c r="M567" s="42"/>
      <c r="N567" s="42"/>
      <c r="O567" s="101"/>
      <c r="P567" s="45"/>
      <c r="Q567" s="42"/>
      <c r="R567" s="42"/>
      <c r="S567" s="42"/>
      <c r="T567" s="12">
        <f t="shared" si="356"/>
        <v>0</v>
      </c>
      <c r="U567" s="45"/>
      <c r="V567" s="12">
        <f>+T567*0</f>
        <v>0</v>
      </c>
      <c r="W567" s="12">
        <f t="shared" si="357"/>
        <v>0</v>
      </c>
      <c r="X567" s="12"/>
      <c r="Y567" s="12">
        <f t="shared" si="354"/>
        <v>0</v>
      </c>
      <c r="Z567" s="12"/>
      <c r="AA567" s="12">
        <f t="shared" si="358"/>
        <v>0</v>
      </c>
      <c r="AB567" s="12"/>
      <c r="AC567" s="12">
        <f t="shared" si="359"/>
        <v>0</v>
      </c>
      <c r="AD567" s="42"/>
      <c r="AE567" s="12"/>
    </row>
    <row r="568" spans="1:31" s="46" customFormat="1" ht="21">
      <c r="A568" s="42" t="s">
        <v>0</v>
      </c>
      <c r="B568" s="42" t="s">
        <v>1</v>
      </c>
      <c r="C568" s="45" t="s">
        <v>1548</v>
      </c>
      <c r="D568" s="45" t="s">
        <v>423</v>
      </c>
      <c r="E568" s="29" t="s">
        <v>907</v>
      </c>
      <c r="F568" s="47" t="s">
        <v>140</v>
      </c>
      <c r="G568" s="42"/>
      <c r="H568" s="42"/>
      <c r="I568" s="44">
        <v>50.7</v>
      </c>
      <c r="J568" s="44">
        <f t="shared" si="355"/>
        <v>50.7</v>
      </c>
      <c r="K568" s="42">
        <v>6000</v>
      </c>
      <c r="L568" s="42">
        <f aca="true" t="shared" si="361" ref="L568:L573">+K568*J568</f>
        <v>304200</v>
      </c>
      <c r="M568" s="42"/>
      <c r="N568" s="42"/>
      <c r="O568" s="101"/>
      <c r="P568" s="45"/>
      <c r="Q568" s="42"/>
      <c r="R568" s="100"/>
      <c r="S568" s="42"/>
      <c r="T568" s="12">
        <f t="shared" si="356"/>
        <v>0</v>
      </c>
      <c r="U568" s="45"/>
      <c r="V568" s="12">
        <f>+T568*0</f>
        <v>0</v>
      </c>
      <c r="W568" s="12">
        <f t="shared" si="357"/>
        <v>0</v>
      </c>
      <c r="X568" s="116"/>
      <c r="Y568" s="117">
        <f t="shared" si="354"/>
        <v>304200</v>
      </c>
      <c r="Z568" s="12"/>
      <c r="AA568" s="12">
        <f t="shared" si="358"/>
        <v>304200</v>
      </c>
      <c r="AB568" s="12">
        <v>0.3</v>
      </c>
      <c r="AC568" s="12">
        <f t="shared" si="359"/>
        <v>912.6</v>
      </c>
      <c r="AD568" s="42"/>
      <c r="AE568" s="12"/>
    </row>
    <row r="569" spans="1:31" s="46" customFormat="1" ht="21">
      <c r="A569" s="42"/>
      <c r="B569" s="42"/>
      <c r="C569" s="45"/>
      <c r="D569" s="31"/>
      <c r="E569" s="31"/>
      <c r="F569" s="47"/>
      <c r="G569" s="42"/>
      <c r="H569" s="42"/>
      <c r="I569" s="44"/>
      <c r="J569" s="44">
        <f t="shared" si="355"/>
        <v>0</v>
      </c>
      <c r="K569" s="42"/>
      <c r="L569" s="42">
        <f t="shared" si="361"/>
        <v>0</v>
      </c>
      <c r="M569" s="42"/>
      <c r="N569" s="42"/>
      <c r="O569" s="101"/>
      <c r="P569" s="45"/>
      <c r="Q569" s="42"/>
      <c r="R569" s="42"/>
      <c r="S569" s="42"/>
      <c r="T569" s="12">
        <f t="shared" si="356"/>
        <v>0</v>
      </c>
      <c r="U569" s="45"/>
      <c r="V569" s="12">
        <f>+T569*0</f>
        <v>0</v>
      </c>
      <c r="W569" s="12">
        <f t="shared" si="357"/>
        <v>0</v>
      </c>
      <c r="X569" s="12"/>
      <c r="Y569" s="12">
        <f t="shared" si="354"/>
        <v>0</v>
      </c>
      <c r="Z569" s="12"/>
      <c r="AA569" s="12">
        <f t="shared" si="358"/>
        <v>0</v>
      </c>
      <c r="AB569" s="12"/>
      <c r="AC569" s="12">
        <f t="shared" si="359"/>
        <v>0</v>
      </c>
      <c r="AD569" s="42"/>
      <c r="AE569" s="12"/>
    </row>
    <row r="570" spans="1:31" s="46" customFormat="1" ht="21">
      <c r="A570" s="42"/>
      <c r="B570" s="42"/>
      <c r="C570" s="45"/>
      <c r="D570" s="31"/>
      <c r="E570" s="31"/>
      <c r="F570" s="47"/>
      <c r="G570" s="42"/>
      <c r="H570" s="42"/>
      <c r="I570" s="44"/>
      <c r="J570" s="44">
        <f t="shared" si="355"/>
        <v>0</v>
      </c>
      <c r="K570" s="42"/>
      <c r="L570" s="42">
        <f t="shared" si="361"/>
        <v>0</v>
      </c>
      <c r="M570" s="42"/>
      <c r="N570" s="42"/>
      <c r="O570" s="101"/>
      <c r="P570" s="45"/>
      <c r="Q570" s="42"/>
      <c r="R570" s="42"/>
      <c r="S570" s="42"/>
      <c r="T570" s="12">
        <f t="shared" si="356"/>
        <v>0</v>
      </c>
      <c r="U570" s="45"/>
      <c r="V570" s="12">
        <f>+T570*0</f>
        <v>0</v>
      </c>
      <c r="W570" s="12">
        <f t="shared" si="357"/>
        <v>0</v>
      </c>
      <c r="X570" s="12"/>
      <c r="Y570" s="12">
        <f t="shared" si="354"/>
        <v>0</v>
      </c>
      <c r="Z570" s="12"/>
      <c r="AA570" s="12">
        <f t="shared" si="358"/>
        <v>0</v>
      </c>
      <c r="AB570" s="12"/>
      <c r="AC570" s="12">
        <f t="shared" si="359"/>
        <v>0</v>
      </c>
      <c r="AD570" s="42"/>
      <c r="AE570" s="12"/>
    </row>
    <row r="571" spans="1:31" s="46" customFormat="1" ht="21">
      <c r="A571" s="42" t="s">
        <v>0</v>
      </c>
      <c r="B571" s="42" t="s">
        <v>1</v>
      </c>
      <c r="C571" s="45" t="s">
        <v>1549</v>
      </c>
      <c r="D571" s="45" t="s">
        <v>424</v>
      </c>
      <c r="E571" s="29" t="s">
        <v>907</v>
      </c>
      <c r="F571" s="47" t="s">
        <v>143</v>
      </c>
      <c r="G571" s="42"/>
      <c r="H571" s="42"/>
      <c r="I571" s="44">
        <v>18.3</v>
      </c>
      <c r="J571" s="44">
        <f t="shared" si="355"/>
        <v>18.3</v>
      </c>
      <c r="K571" s="42">
        <v>50000</v>
      </c>
      <c r="L571" s="42">
        <f t="shared" si="361"/>
        <v>915000</v>
      </c>
      <c r="M571" s="42"/>
      <c r="N571" s="42" t="s">
        <v>60</v>
      </c>
      <c r="O571" s="101" t="s">
        <v>446</v>
      </c>
      <c r="P571" s="45">
        <v>3</v>
      </c>
      <c r="Q571" s="100">
        <v>192</v>
      </c>
      <c r="R571" s="100"/>
      <c r="S571" s="42">
        <v>7550</v>
      </c>
      <c r="T571" s="12">
        <f t="shared" si="356"/>
        <v>1449600</v>
      </c>
      <c r="U571" s="102" t="s">
        <v>84</v>
      </c>
      <c r="V571" s="12">
        <f>+T571*0.2</f>
        <v>289920</v>
      </c>
      <c r="W571" s="12">
        <f t="shared" si="357"/>
        <v>1159680</v>
      </c>
      <c r="X571" s="116"/>
      <c r="Y571" s="117">
        <f t="shared" si="354"/>
        <v>2074680</v>
      </c>
      <c r="Z571" s="12"/>
      <c r="AA571" s="12">
        <f t="shared" si="358"/>
        <v>2074680</v>
      </c>
      <c r="AB571" s="12">
        <v>0.3</v>
      </c>
      <c r="AC571" s="12">
        <f t="shared" si="359"/>
        <v>6224.04</v>
      </c>
      <c r="AD571" s="42"/>
      <c r="AE571" s="12"/>
    </row>
    <row r="572" spans="1:31" s="46" customFormat="1" ht="21">
      <c r="A572" s="42"/>
      <c r="B572" s="42"/>
      <c r="C572" s="45"/>
      <c r="D572" s="31"/>
      <c r="E572" s="31"/>
      <c r="F572" s="47"/>
      <c r="G572" s="42"/>
      <c r="H572" s="42"/>
      <c r="I572" s="44"/>
      <c r="J572" s="44">
        <f t="shared" si="355"/>
        <v>0</v>
      </c>
      <c r="K572" s="42"/>
      <c r="L572" s="42">
        <f t="shared" si="361"/>
        <v>0</v>
      </c>
      <c r="M572" s="42"/>
      <c r="N572" s="42"/>
      <c r="O572" s="101"/>
      <c r="P572" s="45"/>
      <c r="Q572" s="42"/>
      <c r="R572" s="42"/>
      <c r="S572" s="42"/>
      <c r="T572" s="12">
        <f t="shared" si="356"/>
        <v>0</v>
      </c>
      <c r="U572" s="45"/>
      <c r="V572" s="12">
        <f aca="true" t="shared" si="362" ref="V572:V580">+T572*0</f>
        <v>0</v>
      </c>
      <c r="W572" s="12">
        <f t="shared" si="357"/>
        <v>0</v>
      </c>
      <c r="X572" s="12"/>
      <c r="Y572" s="12">
        <f t="shared" si="354"/>
        <v>0</v>
      </c>
      <c r="Z572" s="12"/>
      <c r="AA572" s="12">
        <f t="shared" si="358"/>
        <v>0</v>
      </c>
      <c r="AB572" s="12"/>
      <c r="AC572" s="12">
        <f t="shared" si="359"/>
        <v>0</v>
      </c>
      <c r="AD572" s="42"/>
      <c r="AE572" s="12"/>
    </row>
    <row r="573" spans="1:31" s="46" customFormat="1" ht="21">
      <c r="A573" s="42"/>
      <c r="B573" s="42"/>
      <c r="C573" s="45"/>
      <c r="D573" s="31"/>
      <c r="E573" s="31"/>
      <c r="F573" s="47"/>
      <c r="G573" s="42"/>
      <c r="H573" s="42"/>
      <c r="I573" s="44"/>
      <c r="J573" s="44">
        <f t="shared" si="355"/>
        <v>0</v>
      </c>
      <c r="K573" s="42"/>
      <c r="L573" s="42">
        <f t="shared" si="361"/>
        <v>0</v>
      </c>
      <c r="M573" s="42"/>
      <c r="N573" s="42"/>
      <c r="O573" s="101"/>
      <c r="P573" s="45"/>
      <c r="Q573" s="42"/>
      <c r="R573" s="42"/>
      <c r="S573" s="42"/>
      <c r="T573" s="12">
        <f t="shared" si="356"/>
        <v>0</v>
      </c>
      <c r="U573" s="45"/>
      <c r="V573" s="12">
        <f t="shared" si="362"/>
        <v>0</v>
      </c>
      <c r="W573" s="12">
        <f t="shared" si="357"/>
        <v>0</v>
      </c>
      <c r="X573" s="12"/>
      <c r="Y573" s="12">
        <f t="shared" si="354"/>
        <v>0</v>
      </c>
      <c r="Z573" s="12"/>
      <c r="AA573" s="12">
        <f t="shared" si="358"/>
        <v>0</v>
      </c>
      <c r="AB573" s="12"/>
      <c r="AC573" s="12">
        <f t="shared" si="359"/>
        <v>0</v>
      </c>
      <c r="AD573" s="42"/>
      <c r="AE573" s="12"/>
    </row>
    <row r="574" spans="1:31" s="46" customFormat="1" ht="21">
      <c r="A574" s="42" t="s">
        <v>0</v>
      </c>
      <c r="B574" s="42" t="s">
        <v>1</v>
      </c>
      <c r="C574" s="45" t="s">
        <v>1550</v>
      </c>
      <c r="D574" s="45" t="s">
        <v>425</v>
      </c>
      <c r="E574" s="29" t="s">
        <v>907</v>
      </c>
      <c r="F574" s="47" t="s">
        <v>140</v>
      </c>
      <c r="G574" s="42"/>
      <c r="H574" s="42"/>
      <c r="I574" s="44">
        <v>70.6</v>
      </c>
      <c r="J574" s="44">
        <f t="shared" si="355"/>
        <v>70.6</v>
      </c>
      <c r="K574" s="42">
        <v>10000</v>
      </c>
      <c r="L574" s="42">
        <f aca="true" t="shared" si="363" ref="L574:L592">+K574*J574</f>
        <v>706000</v>
      </c>
      <c r="M574" s="42"/>
      <c r="N574" s="42"/>
      <c r="O574" s="101"/>
      <c r="P574" s="45"/>
      <c r="Q574" s="42"/>
      <c r="R574" s="100"/>
      <c r="S574" s="42"/>
      <c r="T574" s="12">
        <f t="shared" si="356"/>
        <v>0</v>
      </c>
      <c r="U574" s="45"/>
      <c r="V574" s="12">
        <f t="shared" si="362"/>
        <v>0</v>
      </c>
      <c r="W574" s="12">
        <f t="shared" si="357"/>
        <v>0</v>
      </c>
      <c r="X574" s="116"/>
      <c r="Y574" s="117">
        <f t="shared" si="354"/>
        <v>706000</v>
      </c>
      <c r="Z574" s="12"/>
      <c r="AA574" s="12">
        <f t="shared" si="358"/>
        <v>706000</v>
      </c>
      <c r="AB574" s="12">
        <v>0.3</v>
      </c>
      <c r="AC574" s="12">
        <f t="shared" si="359"/>
        <v>2118</v>
      </c>
      <c r="AD574" s="42"/>
      <c r="AE574" s="12"/>
    </row>
    <row r="575" spans="1:31" s="46" customFormat="1" ht="21">
      <c r="A575" s="42"/>
      <c r="B575" s="42"/>
      <c r="C575" s="45"/>
      <c r="D575" s="31"/>
      <c r="E575" s="31"/>
      <c r="F575" s="47"/>
      <c r="G575" s="42"/>
      <c r="H575" s="42"/>
      <c r="I575" s="44"/>
      <c r="J575" s="44">
        <f t="shared" si="355"/>
        <v>0</v>
      </c>
      <c r="K575" s="42"/>
      <c r="L575" s="42">
        <f t="shared" si="363"/>
        <v>0</v>
      </c>
      <c r="M575" s="42"/>
      <c r="N575" s="42"/>
      <c r="O575" s="101"/>
      <c r="P575" s="45"/>
      <c r="Q575" s="42"/>
      <c r="R575" s="42"/>
      <c r="S575" s="42"/>
      <c r="T575" s="12">
        <f t="shared" si="356"/>
        <v>0</v>
      </c>
      <c r="U575" s="45"/>
      <c r="V575" s="12">
        <f t="shared" si="362"/>
        <v>0</v>
      </c>
      <c r="W575" s="12">
        <f t="shared" si="357"/>
        <v>0</v>
      </c>
      <c r="X575" s="12"/>
      <c r="Y575" s="12">
        <f t="shared" si="354"/>
        <v>0</v>
      </c>
      <c r="Z575" s="12"/>
      <c r="AA575" s="12">
        <f t="shared" si="358"/>
        <v>0</v>
      </c>
      <c r="AB575" s="12"/>
      <c r="AC575" s="12">
        <f t="shared" si="359"/>
        <v>0</v>
      </c>
      <c r="AD575" s="42"/>
      <c r="AE575" s="12"/>
    </row>
    <row r="576" spans="1:31" s="46" customFormat="1" ht="21">
      <c r="A576" s="42"/>
      <c r="B576" s="42"/>
      <c r="C576" s="45"/>
      <c r="D576" s="31"/>
      <c r="E576" s="31"/>
      <c r="F576" s="47"/>
      <c r="G576" s="42"/>
      <c r="H576" s="42"/>
      <c r="I576" s="44"/>
      <c r="J576" s="44">
        <f t="shared" si="355"/>
        <v>0</v>
      </c>
      <c r="K576" s="42"/>
      <c r="L576" s="42">
        <f t="shared" si="363"/>
        <v>0</v>
      </c>
      <c r="M576" s="42"/>
      <c r="N576" s="42"/>
      <c r="O576" s="101"/>
      <c r="P576" s="45"/>
      <c r="Q576" s="42"/>
      <c r="R576" s="42"/>
      <c r="S576" s="42"/>
      <c r="T576" s="12">
        <f t="shared" si="356"/>
        <v>0</v>
      </c>
      <c r="U576" s="45"/>
      <c r="V576" s="12">
        <f t="shared" si="362"/>
        <v>0</v>
      </c>
      <c r="W576" s="12">
        <f t="shared" si="357"/>
        <v>0</v>
      </c>
      <c r="X576" s="12"/>
      <c r="Y576" s="12">
        <f t="shared" si="354"/>
        <v>0</v>
      </c>
      <c r="Z576" s="12"/>
      <c r="AA576" s="12">
        <f t="shared" si="358"/>
        <v>0</v>
      </c>
      <c r="AB576" s="12"/>
      <c r="AC576" s="12">
        <f t="shared" si="359"/>
        <v>0</v>
      </c>
      <c r="AD576" s="42"/>
      <c r="AE576" s="12"/>
    </row>
    <row r="577" spans="1:31" s="46" customFormat="1" ht="21">
      <c r="A577" s="42" t="s">
        <v>0</v>
      </c>
      <c r="B577" s="42" t="s">
        <v>1</v>
      </c>
      <c r="C577" s="45" t="s">
        <v>1551</v>
      </c>
      <c r="D577" s="45" t="s">
        <v>426</v>
      </c>
      <c r="E577" s="29" t="s">
        <v>907</v>
      </c>
      <c r="F577" s="47" t="s">
        <v>177</v>
      </c>
      <c r="G577" s="42"/>
      <c r="H577" s="42"/>
      <c r="I577" s="44">
        <v>40.8</v>
      </c>
      <c r="J577" s="44">
        <f t="shared" si="355"/>
        <v>40.8</v>
      </c>
      <c r="K577" s="42">
        <v>6000</v>
      </c>
      <c r="L577" s="42">
        <f t="shared" si="363"/>
        <v>244799.99999999997</v>
      </c>
      <c r="M577" s="42"/>
      <c r="N577" s="42"/>
      <c r="O577" s="101"/>
      <c r="P577" s="45"/>
      <c r="Q577" s="42"/>
      <c r="R577" s="100"/>
      <c r="S577" s="42"/>
      <c r="T577" s="12">
        <f t="shared" si="356"/>
        <v>0</v>
      </c>
      <c r="U577" s="45"/>
      <c r="V577" s="12">
        <f t="shared" si="362"/>
        <v>0</v>
      </c>
      <c r="W577" s="12">
        <f t="shared" si="357"/>
        <v>0</v>
      </c>
      <c r="X577" s="116"/>
      <c r="Y577" s="117">
        <f t="shared" si="354"/>
        <v>244799.99999999997</v>
      </c>
      <c r="Z577" s="12">
        <f>+Y577</f>
        <v>244799.99999999997</v>
      </c>
      <c r="AA577" s="12">
        <f t="shared" si="358"/>
        <v>0</v>
      </c>
      <c r="AB577" s="12"/>
      <c r="AC577" s="12">
        <f t="shared" si="359"/>
        <v>0</v>
      </c>
      <c r="AD577" s="42"/>
      <c r="AE577" s="12"/>
    </row>
    <row r="578" spans="1:31" s="46" customFormat="1" ht="21">
      <c r="A578" s="42" t="s">
        <v>0</v>
      </c>
      <c r="B578" s="42" t="s">
        <v>1</v>
      </c>
      <c r="C578" s="45" t="s">
        <v>1552</v>
      </c>
      <c r="D578" s="45" t="s">
        <v>427</v>
      </c>
      <c r="E578" s="29" t="s">
        <v>907</v>
      </c>
      <c r="F578" s="47" t="s">
        <v>177</v>
      </c>
      <c r="G578" s="42"/>
      <c r="H578" s="42"/>
      <c r="I578" s="44">
        <v>9.8</v>
      </c>
      <c r="J578" s="44">
        <f t="shared" si="355"/>
        <v>9.8</v>
      </c>
      <c r="K578" s="42">
        <v>8000</v>
      </c>
      <c r="L578" s="42">
        <f t="shared" si="363"/>
        <v>78400</v>
      </c>
      <c r="M578" s="42"/>
      <c r="N578" s="42"/>
      <c r="O578" s="101"/>
      <c r="P578" s="45"/>
      <c r="Q578" s="42"/>
      <c r="R578" s="100"/>
      <c r="S578" s="42"/>
      <c r="T578" s="12">
        <f t="shared" si="356"/>
        <v>0</v>
      </c>
      <c r="U578" s="45"/>
      <c r="V578" s="12">
        <f t="shared" si="362"/>
        <v>0</v>
      </c>
      <c r="W578" s="12">
        <f t="shared" si="357"/>
        <v>0</v>
      </c>
      <c r="X578" s="116"/>
      <c r="Y578" s="117">
        <f t="shared" si="354"/>
        <v>78400</v>
      </c>
      <c r="Z578" s="12">
        <f>+Y578</f>
        <v>78400</v>
      </c>
      <c r="AA578" s="12">
        <f t="shared" si="358"/>
        <v>0</v>
      </c>
      <c r="AB578" s="12"/>
      <c r="AC578" s="12">
        <f t="shared" si="359"/>
        <v>0</v>
      </c>
      <c r="AD578" s="42"/>
      <c r="AE578" s="12"/>
    </row>
    <row r="579" spans="1:31" s="46" customFormat="1" ht="21">
      <c r="A579" s="42"/>
      <c r="B579" s="42"/>
      <c r="C579" s="45"/>
      <c r="D579" s="31"/>
      <c r="E579" s="31"/>
      <c r="F579" s="47"/>
      <c r="G579" s="42"/>
      <c r="H579" s="42"/>
      <c r="I579" s="44"/>
      <c r="J579" s="44">
        <f t="shared" si="355"/>
        <v>0</v>
      </c>
      <c r="K579" s="42"/>
      <c r="L579" s="42">
        <f t="shared" si="363"/>
        <v>0</v>
      </c>
      <c r="M579" s="42"/>
      <c r="N579" s="42"/>
      <c r="O579" s="101"/>
      <c r="P579" s="45"/>
      <c r="Q579" s="42"/>
      <c r="R579" s="42"/>
      <c r="S579" s="42"/>
      <c r="T579" s="12">
        <f t="shared" si="356"/>
        <v>0</v>
      </c>
      <c r="U579" s="45"/>
      <c r="V579" s="12">
        <f t="shared" si="362"/>
        <v>0</v>
      </c>
      <c r="W579" s="12">
        <f t="shared" si="357"/>
        <v>0</v>
      </c>
      <c r="X579" s="12"/>
      <c r="Y579" s="12">
        <f t="shared" si="354"/>
        <v>0</v>
      </c>
      <c r="Z579" s="12"/>
      <c r="AA579" s="12">
        <f t="shared" si="358"/>
        <v>0</v>
      </c>
      <c r="AB579" s="12"/>
      <c r="AC579" s="12">
        <f t="shared" si="359"/>
        <v>0</v>
      </c>
      <c r="AD579" s="42"/>
      <c r="AE579" s="12"/>
    </row>
    <row r="580" spans="1:31" s="46" customFormat="1" ht="21">
      <c r="A580" s="42"/>
      <c r="B580" s="42"/>
      <c r="C580" s="45"/>
      <c r="D580" s="31"/>
      <c r="E580" s="31"/>
      <c r="F580" s="47"/>
      <c r="G580" s="42"/>
      <c r="H580" s="42"/>
      <c r="I580" s="44"/>
      <c r="J580" s="44">
        <f t="shared" si="355"/>
        <v>0</v>
      </c>
      <c r="K580" s="42"/>
      <c r="L580" s="42">
        <f t="shared" si="363"/>
        <v>0</v>
      </c>
      <c r="M580" s="42"/>
      <c r="N580" s="42"/>
      <c r="O580" s="101"/>
      <c r="P580" s="45"/>
      <c r="Q580" s="42"/>
      <c r="R580" s="42"/>
      <c r="S580" s="42"/>
      <c r="T580" s="12">
        <f t="shared" si="356"/>
        <v>0</v>
      </c>
      <c r="U580" s="45"/>
      <c r="V580" s="12">
        <f t="shared" si="362"/>
        <v>0</v>
      </c>
      <c r="W580" s="12">
        <f t="shared" si="357"/>
        <v>0</v>
      </c>
      <c r="X580" s="12"/>
      <c r="Y580" s="12">
        <f t="shared" si="354"/>
        <v>0</v>
      </c>
      <c r="Z580" s="12"/>
      <c r="AA580" s="12">
        <f t="shared" si="358"/>
        <v>0</v>
      </c>
      <c r="AB580" s="12"/>
      <c r="AC580" s="12">
        <f t="shared" si="359"/>
        <v>0</v>
      </c>
      <c r="AD580" s="42"/>
      <c r="AE580" s="12"/>
    </row>
    <row r="581" spans="1:31" s="46" customFormat="1" ht="21">
      <c r="A581" s="42" t="s">
        <v>0</v>
      </c>
      <c r="B581" s="42" t="s">
        <v>1</v>
      </c>
      <c r="C581" s="45" t="s">
        <v>1553</v>
      </c>
      <c r="D581" s="45" t="s">
        <v>428</v>
      </c>
      <c r="E581" s="29" t="s">
        <v>907</v>
      </c>
      <c r="F581" s="47" t="s">
        <v>143</v>
      </c>
      <c r="G581" s="42"/>
      <c r="H581" s="42"/>
      <c r="I581" s="44">
        <v>50.1</v>
      </c>
      <c r="J581" s="44">
        <f t="shared" si="355"/>
        <v>50.1</v>
      </c>
      <c r="K581" s="42">
        <v>15000</v>
      </c>
      <c r="L581" s="42">
        <f t="shared" si="363"/>
        <v>751500</v>
      </c>
      <c r="M581" s="42"/>
      <c r="N581" s="42" t="s">
        <v>117</v>
      </c>
      <c r="O581" s="101" t="s">
        <v>446</v>
      </c>
      <c r="P581" s="45">
        <v>3</v>
      </c>
      <c r="Q581" s="44">
        <v>24</v>
      </c>
      <c r="R581" s="100"/>
      <c r="S581" s="42">
        <v>2500</v>
      </c>
      <c r="T581" s="12">
        <f t="shared" si="356"/>
        <v>60000</v>
      </c>
      <c r="U581" s="45" t="s">
        <v>321</v>
      </c>
      <c r="V581" s="12">
        <f>+T581*0.02</f>
        <v>1200</v>
      </c>
      <c r="W581" s="12">
        <f t="shared" si="357"/>
        <v>58800</v>
      </c>
      <c r="X581" s="116"/>
      <c r="Y581" s="117">
        <f t="shared" si="354"/>
        <v>810300</v>
      </c>
      <c r="Z581" s="12"/>
      <c r="AA581" s="12">
        <f t="shared" si="358"/>
        <v>810300</v>
      </c>
      <c r="AB581" s="12">
        <v>0.3</v>
      </c>
      <c r="AC581" s="12">
        <f t="shared" si="359"/>
        <v>2430.9</v>
      </c>
      <c r="AD581" s="42"/>
      <c r="AE581" s="12"/>
    </row>
    <row r="582" spans="1:31" s="46" customFormat="1" ht="21">
      <c r="A582" s="42" t="s">
        <v>0</v>
      </c>
      <c r="B582" s="42" t="s">
        <v>1</v>
      </c>
      <c r="C582" s="45" t="s">
        <v>1554</v>
      </c>
      <c r="D582" s="45" t="s">
        <v>429</v>
      </c>
      <c r="E582" s="29" t="s">
        <v>907</v>
      </c>
      <c r="F582" s="47" t="s">
        <v>143</v>
      </c>
      <c r="G582" s="42"/>
      <c r="H582" s="42"/>
      <c r="I582" s="44">
        <v>52.1</v>
      </c>
      <c r="J582" s="44">
        <f t="shared" si="355"/>
        <v>52.1</v>
      </c>
      <c r="K582" s="42">
        <v>15000</v>
      </c>
      <c r="L582" s="42">
        <f t="shared" si="363"/>
        <v>781500</v>
      </c>
      <c r="M582" s="42"/>
      <c r="N582" s="42" t="s">
        <v>117</v>
      </c>
      <c r="O582" s="101" t="s">
        <v>446</v>
      </c>
      <c r="P582" s="45">
        <v>3</v>
      </c>
      <c r="Q582" s="44">
        <v>24</v>
      </c>
      <c r="R582" s="100"/>
      <c r="S582" s="42">
        <v>2500</v>
      </c>
      <c r="T582" s="12">
        <f t="shared" si="356"/>
        <v>60000</v>
      </c>
      <c r="U582" s="45" t="s">
        <v>321</v>
      </c>
      <c r="V582" s="12">
        <f>+T582*0.02</f>
        <v>1200</v>
      </c>
      <c r="W582" s="12">
        <f t="shared" si="357"/>
        <v>58800</v>
      </c>
      <c r="X582" s="116"/>
      <c r="Y582" s="117">
        <f aca="true" t="shared" si="364" ref="Y582:Y595">+L582+W582</f>
        <v>840300</v>
      </c>
      <c r="Z582" s="12"/>
      <c r="AA582" s="12">
        <f t="shared" si="358"/>
        <v>840300</v>
      </c>
      <c r="AB582" s="12">
        <v>0.3</v>
      </c>
      <c r="AC582" s="12">
        <f t="shared" si="359"/>
        <v>2520.9</v>
      </c>
      <c r="AD582" s="42"/>
      <c r="AE582" s="12"/>
    </row>
    <row r="583" spans="1:31" s="46" customFormat="1" ht="21">
      <c r="A583" s="42" t="s">
        <v>0</v>
      </c>
      <c r="B583" s="42" t="s">
        <v>1</v>
      </c>
      <c r="C583" s="45" t="s">
        <v>1555</v>
      </c>
      <c r="D583" s="45" t="s">
        <v>430</v>
      </c>
      <c r="E583" s="29" t="s">
        <v>907</v>
      </c>
      <c r="F583" s="47" t="s">
        <v>140</v>
      </c>
      <c r="G583" s="42"/>
      <c r="H583" s="42"/>
      <c r="I583" s="44">
        <v>49.9</v>
      </c>
      <c r="J583" s="44">
        <f t="shared" si="355"/>
        <v>49.9</v>
      </c>
      <c r="K583" s="42">
        <v>15000</v>
      </c>
      <c r="L583" s="42">
        <f t="shared" si="363"/>
        <v>748500</v>
      </c>
      <c r="M583" s="42"/>
      <c r="N583" s="42"/>
      <c r="O583" s="101"/>
      <c r="P583" s="45"/>
      <c r="Q583" s="42"/>
      <c r="R583" s="100"/>
      <c r="S583" s="42"/>
      <c r="T583" s="12">
        <f t="shared" si="356"/>
        <v>0</v>
      </c>
      <c r="U583" s="45"/>
      <c r="V583" s="12">
        <f>+T583*0</f>
        <v>0</v>
      </c>
      <c r="W583" s="12">
        <f t="shared" si="357"/>
        <v>0</v>
      </c>
      <c r="X583" s="116"/>
      <c r="Y583" s="117">
        <f t="shared" si="364"/>
        <v>748500</v>
      </c>
      <c r="Z583" s="12"/>
      <c r="AA583" s="12">
        <f t="shared" si="358"/>
        <v>748500</v>
      </c>
      <c r="AB583" s="12">
        <v>0.3</v>
      </c>
      <c r="AC583" s="12">
        <f t="shared" si="359"/>
        <v>2245.5</v>
      </c>
      <c r="AD583" s="42"/>
      <c r="AE583" s="12"/>
    </row>
    <row r="584" spans="1:31" s="46" customFormat="1" ht="21">
      <c r="A584" s="42" t="s">
        <v>0</v>
      </c>
      <c r="B584" s="42" t="s">
        <v>1</v>
      </c>
      <c r="C584" s="45" t="s">
        <v>1556</v>
      </c>
      <c r="D584" s="45" t="s">
        <v>431</v>
      </c>
      <c r="E584" s="29" t="s">
        <v>907</v>
      </c>
      <c r="F584" s="47" t="s">
        <v>143</v>
      </c>
      <c r="G584" s="42"/>
      <c r="H584" s="42"/>
      <c r="I584" s="44">
        <v>38</v>
      </c>
      <c r="J584" s="44">
        <f aca="true" t="shared" si="365" ref="J584:J615">+I584+(H584*100)+(G584*400)</f>
        <v>38</v>
      </c>
      <c r="K584" s="42">
        <v>40000</v>
      </c>
      <c r="L584" s="42">
        <f t="shared" si="363"/>
        <v>1520000</v>
      </c>
      <c r="M584" s="42"/>
      <c r="N584" s="42" t="s">
        <v>418</v>
      </c>
      <c r="O584" s="101"/>
      <c r="P584" s="45"/>
      <c r="Q584" s="42"/>
      <c r="R584" s="100"/>
      <c r="S584" s="42"/>
      <c r="T584" s="12">
        <f aca="true" t="shared" si="366" ref="T584:T615">+Q584*S584</f>
        <v>0</v>
      </c>
      <c r="U584" s="45"/>
      <c r="V584" s="12">
        <f>+T584*0</f>
        <v>0</v>
      </c>
      <c r="W584" s="12">
        <f aca="true" t="shared" si="367" ref="W584:W615">+T584-V584</f>
        <v>0</v>
      </c>
      <c r="X584" s="116"/>
      <c r="Y584" s="117">
        <f t="shared" si="364"/>
        <v>1520000</v>
      </c>
      <c r="Z584" s="12"/>
      <c r="AA584" s="12">
        <f aca="true" t="shared" si="368" ref="AA584:AA615">+Y584-Z584</f>
        <v>1520000</v>
      </c>
      <c r="AB584" s="12">
        <v>0.3</v>
      </c>
      <c r="AC584" s="12">
        <f aca="true" t="shared" si="369" ref="AC584:AC615">+AA584*AB584/100</f>
        <v>4560</v>
      </c>
      <c r="AD584" s="42"/>
      <c r="AE584" s="12"/>
    </row>
    <row r="585" spans="1:31" s="46" customFormat="1" ht="21">
      <c r="A585" s="42" t="s">
        <v>0</v>
      </c>
      <c r="B585" s="42" t="s">
        <v>1</v>
      </c>
      <c r="C585" s="45" t="s">
        <v>1557</v>
      </c>
      <c r="D585" s="45" t="s">
        <v>432</v>
      </c>
      <c r="E585" s="29" t="s">
        <v>907</v>
      </c>
      <c r="F585" s="47" t="s">
        <v>143</v>
      </c>
      <c r="G585" s="42"/>
      <c r="H585" s="42"/>
      <c r="I585" s="44">
        <v>36.4</v>
      </c>
      <c r="J585" s="44">
        <f t="shared" si="365"/>
        <v>36.4</v>
      </c>
      <c r="K585" s="42">
        <v>40000</v>
      </c>
      <c r="L585" s="42">
        <f t="shared" si="363"/>
        <v>1456000</v>
      </c>
      <c r="M585" s="42"/>
      <c r="N585" s="42" t="s">
        <v>418</v>
      </c>
      <c r="O585" s="101"/>
      <c r="P585" s="45"/>
      <c r="Q585" s="42"/>
      <c r="R585" s="100"/>
      <c r="S585" s="42"/>
      <c r="T585" s="12">
        <f t="shared" si="366"/>
        <v>0</v>
      </c>
      <c r="U585" s="45"/>
      <c r="V585" s="12">
        <f>+T585*0</f>
        <v>0</v>
      </c>
      <c r="W585" s="12">
        <f t="shared" si="367"/>
        <v>0</v>
      </c>
      <c r="X585" s="116"/>
      <c r="Y585" s="117">
        <f t="shared" si="364"/>
        <v>1456000</v>
      </c>
      <c r="Z585" s="12"/>
      <c r="AA585" s="12">
        <f t="shared" si="368"/>
        <v>1456000</v>
      </c>
      <c r="AB585" s="12">
        <v>0.3</v>
      </c>
      <c r="AC585" s="12">
        <f t="shared" si="369"/>
        <v>4368</v>
      </c>
      <c r="AD585" s="42"/>
      <c r="AE585" s="12"/>
    </row>
    <row r="586" spans="1:31" s="46" customFormat="1" ht="21">
      <c r="A586" s="42" t="s">
        <v>0</v>
      </c>
      <c r="B586" s="42" t="s">
        <v>1</v>
      </c>
      <c r="C586" s="45" t="s">
        <v>1558</v>
      </c>
      <c r="D586" s="45" t="s">
        <v>433</v>
      </c>
      <c r="E586" s="29" t="s">
        <v>907</v>
      </c>
      <c r="F586" s="47" t="s">
        <v>137</v>
      </c>
      <c r="G586" s="42"/>
      <c r="H586" s="42"/>
      <c r="I586" s="44">
        <v>14.2</v>
      </c>
      <c r="J586" s="44">
        <f t="shared" si="365"/>
        <v>14.2</v>
      </c>
      <c r="K586" s="42">
        <v>15000</v>
      </c>
      <c r="L586" s="42">
        <f t="shared" si="363"/>
        <v>213000</v>
      </c>
      <c r="M586" s="42"/>
      <c r="N586" s="42" t="s">
        <v>60</v>
      </c>
      <c r="O586" s="101" t="s">
        <v>446</v>
      </c>
      <c r="P586" s="45">
        <v>2</v>
      </c>
      <c r="Q586" s="100">
        <v>96</v>
      </c>
      <c r="R586" s="100"/>
      <c r="S586" s="42">
        <v>7550</v>
      </c>
      <c r="T586" s="12">
        <f t="shared" si="366"/>
        <v>724800</v>
      </c>
      <c r="U586" s="102" t="s">
        <v>74</v>
      </c>
      <c r="V586" s="12">
        <f>+T586*0.36</f>
        <v>260928</v>
      </c>
      <c r="W586" s="12">
        <f t="shared" si="367"/>
        <v>463872</v>
      </c>
      <c r="X586" s="116"/>
      <c r="Y586" s="117">
        <f t="shared" si="364"/>
        <v>676872</v>
      </c>
      <c r="Z586" s="12"/>
      <c r="AA586" s="12">
        <f t="shared" si="368"/>
        <v>676872</v>
      </c>
      <c r="AB586" s="12">
        <v>0.02</v>
      </c>
      <c r="AC586" s="12">
        <f t="shared" si="369"/>
        <v>135.3744</v>
      </c>
      <c r="AD586" s="42"/>
      <c r="AE586" s="12"/>
    </row>
    <row r="587" spans="1:31" s="46" customFormat="1" ht="21">
      <c r="A587" s="42" t="s">
        <v>0</v>
      </c>
      <c r="B587" s="42" t="s">
        <v>1</v>
      </c>
      <c r="C587" s="45" t="s">
        <v>1601</v>
      </c>
      <c r="D587" s="45" t="s">
        <v>1602</v>
      </c>
      <c r="E587" s="29" t="s">
        <v>907</v>
      </c>
      <c r="F587" s="47" t="s">
        <v>137</v>
      </c>
      <c r="G587" s="42"/>
      <c r="H587" s="42"/>
      <c r="I587" s="44">
        <v>14.3</v>
      </c>
      <c r="J587" s="44">
        <f t="shared" si="365"/>
        <v>14.3</v>
      </c>
      <c r="K587" s="42">
        <v>15000</v>
      </c>
      <c r="L587" s="42">
        <f t="shared" si="363"/>
        <v>214500</v>
      </c>
      <c r="M587" s="42"/>
      <c r="N587" s="42" t="s">
        <v>60</v>
      </c>
      <c r="O587" s="101" t="s">
        <v>446</v>
      </c>
      <c r="P587" s="45">
        <v>2</v>
      </c>
      <c r="Q587" s="100">
        <v>96</v>
      </c>
      <c r="R587" s="100"/>
      <c r="S587" s="42">
        <v>7550</v>
      </c>
      <c r="T587" s="12">
        <f t="shared" si="366"/>
        <v>724800</v>
      </c>
      <c r="U587" s="102" t="s">
        <v>100</v>
      </c>
      <c r="V587" s="12">
        <f>+T587*0.6</f>
        <v>434880</v>
      </c>
      <c r="W587" s="12">
        <f t="shared" si="367"/>
        <v>289920</v>
      </c>
      <c r="X587" s="116"/>
      <c r="Y587" s="117">
        <f t="shared" si="364"/>
        <v>504420</v>
      </c>
      <c r="Z587" s="12"/>
      <c r="AA587" s="12">
        <f t="shared" si="368"/>
        <v>504420</v>
      </c>
      <c r="AB587" s="12">
        <v>0.02</v>
      </c>
      <c r="AC587" s="12">
        <f t="shared" si="369"/>
        <v>100.884</v>
      </c>
      <c r="AD587" s="42"/>
      <c r="AE587" s="12"/>
    </row>
    <row r="588" spans="1:31" s="46" customFormat="1" ht="21">
      <c r="A588" s="42"/>
      <c r="B588" s="42"/>
      <c r="C588" s="45"/>
      <c r="D588" s="31"/>
      <c r="E588" s="31"/>
      <c r="F588" s="47"/>
      <c r="G588" s="42"/>
      <c r="H588" s="42"/>
      <c r="I588" s="44"/>
      <c r="J588" s="44">
        <f t="shared" si="365"/>
        <v>0</v>
      </c>
      <c r="K588" s="42"/>
      <c r="L588" s="42">
        <f t="shared" si="363"/>
        <v>0</v>
      </c>
      <c r="M588" s="42"/>
      <c r="N588" s="42"/>
      <c r="O588" s="101"/>
      <c r="P588" s="45"/>
      <c r="Q588" s="42"/>
      <c r="R588" s="42"/>
      <c r="S588" s="42"/>
      <c r="T588" s="12">
        <f t="shared" si="366"/>
        <v>0</v>
      </c>
      <c r="U588" s="45"/>
      <c r="V588" s="12">
        <f>+T588*0</f>
        <v>0</v>
      </c>
      <c r="W588" s="12">
        <f t="shared" si="367"/>
        <v>0</v>
      </c>
      <c r="X588" s="12"/>
      <c r="Y588" s="12">
        <f t="shared" si="364"/>
        <v>0</v>
      </c>
      <c r="Z588" s="12"/>
      <c r="AA588" s="12">
        <f t="shared" si="368"/>
        <v>0</v>
      </c>
      <c r="AB588" s="12"/>
      <c r="AC588" s="12">
        <f t="shared" si="369"/>
        <v>0</v>
      </c>
      <c r="AD588" s="42"/>
      <c r="AE588" s="12"/>
    </row>
    <row r="589" spans="1:31" s="46" customFormat="1" ht="21">
      <c r="A589" s="42"/>
      <c r="B589" s="42"/>
      <c r="C589" s="45"/>
      <c r="D589" s="31"/>
      <c r="E589" s="31"/>
      <c r="F589" s="47"/>
      <c r="G589" s="42"/>
      <c r="H589" s="42"/>
      <c r="I589" s="44"/>
      <c r="J589" s="44">
        <f t="shared" si="365"/>
        <v>0</v>
      </c>
      <c r="K589" s="42"/>
      <c r="L589" s="42">
        <f t="shared" si="363"/>
        <v>0</v>
      </c>
      <c r="M589" s="42"/>
      <c r="N589" s="42"/>
      <c r="O589" s="101"/>
      <c r="P589" s="45"/>
      <c r="Q589" s="42"/>
      <c r="R589" s="42"/>
      <c r="S589" s="42"/>
      <c r="T589" s="12">
        <f t="shared" si="366"/>
        <v>0</v>
      </c>
      <c r="U589" s="45"/>
      <c r="V589" s="12">
        <f>+T589*0</f>
        <v>0</v>
      </c>
      <c r="W589" s="12">
        <f t="shared" si="367"/>
        <v>0</v>
      </c>
      <c r="X589" s="12"/>
      <c r="Y589" s="12">
        <f t="shared" si="364"/>
        <v>0</v>
      </c>
      <c r="Z589" s="12"/>
      <c r="AA589" s="12">
        <f t="shared" si="368"/>
        <v>0</v>
      </c>
      <c r="AB589" s="12"/>
      <c r="AC589" s="12">
        <f t="shared" si="369"/>
        <v>0</v>
      </c>
      <c r="AD589" s="42"/>
      <c r="AE589" s="12"/>
    </row>
    <row r="590" spans="1:31" s="46" customFormat="1" ht="21">
      <c r="A590" s="42" t="s">
        <v>0</v>
      </c>
      <c r="B590" s="42" t="s">
        <v>1</v>
      </c>
      <c r="C590" s="45" t="s">
        <v>1559</v>
      </c>
      <c r="D590" s="51" t="s">
        <v>434</v>
      </c>
      <c r="E590" s="29" t="s">
        <v>907</v>
      </c>
      <c r="F590" s="47" t="s">
        <v>143</v>
      </c>
      <c r="G590" s="42"/>
      <c r="H590" s="42"/>
      <c r="I590" s="44">
        <v>27.6</v>
      </c>
      <c r="J590" s="44">
        <f t="shared" si="365"/>
        <v>27.6</v>
      </c>
      <c r="K590" s="42">
        <v>30000</v>
      </c>
      <c r="L590" s="42">
        <f t="shared" si="363"/>
        <v>828000</v>
      </c>
      <c r="M590" s="42"/>
      <c r="N590" s="42" t="s">
        <v>60</v>
      </c>
      <c r="O590" s="101" t="s">
        <v>446</v>
      </c>
      <c r="P590" s="45">
        <v>3</v>
      </c>
      <c r="Q590" s="100">
        <v>168</v>
      </c>
      <c r="R590" s="100"/>
      <c r="S590" s="42">
        <v>7550</v>
      </c>
      <c r="T590" s="12">
        <f t="shared" si="366"/>
        <v>1268400</v>
      </c>
      <c r="U590" s="45" t="s">
        <v>187</v>
      </c>
      <c r="V590" s="12">
        <f>+T590*0.08</f>
        <v>101472</v>
      </c>
      <c r="W590" s="12">
        <f t="shared" si="367"/>
        <v>1166928</v>
      </c>
      <c r="X590" s="116"/>
      <c r="Y590" s="117">
        <f t="shared" si="364"/>
        <v>1994928</v>
      </c>
      <c r="Z590" s="12"/>
      <c r="AA590" s="12">
        <f t="shared" si="368"/>
        <v>1994928</v>
      </c>
      <c r="AB590" s="12">
        <v>0.3</v>
      </c>
      <c r="AC590" s="12">
        <f t="shared" si="369"/>
        <v>5984.784000000001</v>
      </c>
      <c r="AD590" s="42"/>
      <c r="AE590" s="12"/>
    </row>
    <row r="591" spans="1:31" s="46" customFormat="1" ht="21">
      <c r="A591" s="42"/>
      <c r="B591" s="42"/>
      <c r="C591" s="45"/>
      <c r="D591" s="31"/>
      <c r="E591" s="31"/>
      <c r="F591" s="47"/>
      <c r="G591" s="42"/>
      <c r="H591" s="42"/>
      <c r="I591" s="44"/>
      <c r="J591" s="44">
        <f t="shared" si="365"/>
        <v>0</v>
      </c>
      <c r="K591" s="42"/>
      <c r="L591" s="42">
        <f t="shared" si="363"/>
        <v>0</v>
      </c>
      <c r="M591" s="42"/>
      <c r="N591" s="42"/>
      <c r="O591" s="101"/>
      <c r="P591" s="45"/>
      <c r="Q591" s="42"/>
      <c r="R591" s="42"/>
      <c r="S591" s="42"/>
      <c r="T591" s="12">
        <f t="shared" si="366"/>
        <v>0</v>
      </c>
      <c r="U591" s="45"/>
      <c r="V591" s="12">
        <f>+T591*0</f>
        <v>0</v>
      </c>
      <c r="W591" s="12">
        <f t="shared" si="367"/>
        <v>0</v>
      </c>
      <c r="X591" s="12"/>
      <c r="Y591" s="12">
        <f t="shared" si="364"/>
        <v>0</v>
      </c>
      <c r="Z591" s="12"/>
      <c r="AA591" s="12">
        <f t="shared" si="368"/>
        <v>0</v>
      </c>
      <c r="AB591" s="12"/>
      <c r="AC591" s="12">
        <f t="shared" si="369"/>
        <v>0</v>
      </c>
      <c r="AD591" s="42"/>
      <c r="AE591" s="12"/>
    </row>
    <row r="592" spans="1:31" s="46" customFormat="1" ht="21">
      <c r="A592" s="42"/>
      <c r="B592" s="42"/>
      <c r="C592" s="45"/>
      <c r="D592" s="31"/>
      <c r="E592" s="31"/>
      <c r="F592" s="47"/>
      <c r="G592" s="42"/>
      <c r="H592" s="42"/>
      <c r="I592" s="44"/>
      <c r="J592" s="44">
        <f t="shared" si="365"/>
        <v>0</v>
      </c>
      <c r="K592" s="42"/>
      <c r="L592" s="42">
        <f t="shared" si="363"/>
        <v>0</v>
      </c>
      <c r="M592" s="42"/>
      <c r="N592" s="42"/>
      <c r="O592" s="101"/>
      <c r="P592" s="45"/>
      <c r="Q592" s="42"/>
      <c r="R592" s="42"/>
      <c r="S592" s="42"/>
      <c r="T592" s="12">
        <f t="shared" si="366"/>
        <v>0</v>
      </c>
      <c r="U592" s="45"/>
      <c r="V592" s="12">
        <f>+T592*0</f>
        <v>0</v>
      </c>
      <c r="W592" s="12">
        <f t="shared" si="367"/>
        <v>0</v>
      </c>
      <c r="X592" s="12"/>
      <c r="Y592" s="12">
        <f t="shared" si="364"/>
        <v>0</v>
      </c>
      <c r="Z592" s="12"/>
      <c r="AA592" s="12">
        <f t="shared" si="368"/>
        <v>0</v>
      </c>
      <c r="AB592" s="12"/>
      <c r="AC592" s="12">
        <f t="shared" si="369"/>
        <v>0</v>
      </c>
      <c r="AD592" s="42"/>
      <c r="AE592" s="12"/>
    </row>
    <row r="593" spans="1:31" s="46" customFormat="1" ht="21">
      <c r="A593" s="42" t="s">
        <v>0</v>
      </c>
      <c r="B593" s="42" t="s">
        <v>1</v>
      </c>
      <c r="C593" s="45" t="s">
        <v>1560</v>
      </c>
      <c r="D593" s="45" t="s">
        <v>435</v>
      </c>
      <c r="E593" s="29" t="s">
        <v>907</v>
      </c>
      <c r="F593" s="47" t="s">
        <v>137</v>
      </c>
      <c r="G593" s="42"/>
      <c r="H593" s="42"/>
      <c r="I593" s="44">
        <v>18.6</v>
      </c>
      <c r="J593" s="44">
        <f t="shared" si="365"/>
        <v>18.6</v>
      </c>
      <c r="K593" s="42">
        <v>15000</v>
      </c>
      <c r="L593" s="42">
        <f aca="true" t="shared" si="370" ref="L593:L610">+K593*J593</f>
        <v>279000</v>
      </c>
      <c r="M593" s="42"/>
      <c r="N593" s="42" t="s">
        <v>62</v>
      </c>
      <c r="O593" s="101" t="s">
        <v>446</v>
      </c>
      <c r="P593" s="45">
        <v>2</v>
      </c>
      <c r="Q593" s="100">
        <v>96</v>
      </c>
      <c r="R593" s="100"/>
      <c r="S593" s="42">
        <v>6750</v>
      </c>
      <c r="T593" s="12">
        <f t="shared" si="366"/>
        <v>648000</v>
      </c>
      <c r="U593" s="102" t="s">
        <v>94</v>
      </c>
      <c r="V593" s="12">
        <f>+T593*0.46</f>
        <v>298080</v>
      </c>
      <c r="W593" s="12">
        <f t="shared" si="367"/>
        <v>349920</v>
      </c>
      <c r="X593" s="116"/>
      <c r="Y593" s="117">
        <f t="shared" si="364"/>
        <v>628920</v>
      </c>
      <c r="Z593" s="12"/>
      <c r="AA593" s="12">
        <f t="shared" si="368"/>
        <v>628920</v>
      </c>
      <c r="AB593" s="12">
        <v>0.02</v>
      </c>
      <c r="AC593" s="12">
        <f t="shared" si="369"/>
        <v>125.78399999999999</v>
      </c>
      <c r="AD593" s="42"/>
      <c r="AE593" s="12"/>
    </row>
    <row r="594" spans="1:31" s="46" customFormat="1" ht="21">
      <c r="A594" s="42"/>
      <c r="B594" s="42"/>
      <c r="C594" s="45"/>
      <c r="D594" s="31"/>
      <c r="E594" s="31"/>
      <c r="F594" s="47"/>
      <c r="G594" s="42"/>
      <c r="H594" s="42"/>
      <c r="I594" s="44"/>
      <c r="J594" s="44">
        <f t="shared" si="365"/>
        <v>0</v>
      </c>
      <c r="K594" s="42"/>
      <c r="L594" s="42">
        <f t="shared" si="370"/>
        <v>0</v>
      </c>
      <c r="M594" s="42"/>
      <c r="N594" s="42"/>
      <c r="O594" s="101"/>
      <c r="P594" s="45"/>
      <c r="Q594" s="42"/>
      <c r="R594" s="42"/>
      <c r="S594" s="42"/>
      <c r="T594" s="12">
        <f t="shared" si="366"/>
        <v>0</v>
      </c>
      <c r="U594" s="45"/>
      <c r="V594" s="12">
        <f>+T594*0</f>
        <v>0</v>
      </c>
      <c r="W594" s="12">
        <f t="shared" si="367"/>
        <v>0</v>
      </c>
      <c r="X594" s="12"/>
      <c r="Y594" s="12">
        <f t="shared" si="364"/>
        <v>0</v>
      </c>
      <c r="Z594" s="12"/>
      <c r="AA594" s="12">
        <f t="shared" si="368"/>
        <v>0</v>
      </c>
      <c r="AB594" s="12"/>
      <c r="AC594" s="12">
        <f t="shared" si="369"/>
        <v>0</v>
      </c>
      <c r="AD594" s="42"/>
      <c r="AE594" s="12"/>
    </row>
    <row r="595" spans="1:31" s="46" customFormat="1" ht="21">
      <c r="A595" s="42"/>
      <c r="B595" s="42"/>
      <c r="C595" s="45"/>
      <c r="D595" s="31"/>
      <c r="E595" s="31"/>
      <c r="F595" s="47"/>
      <c r="G595" s="42"/>
      <c r="H595" s="42"/>
      <c r="I595" s="44"/>
      <c r="J595" s="44">
        <f t="shared" si="365"/>
        <v>0</v>
      </c>
      <c r="K595" s="42"/>
      <c r="L595" s="42">
        <f t="shared" si="370"/>
        <v>0</v>
      </c>
      <c r="M595" s="42"/>
      <c r="N595" s="42"/>
      <c r="O595" s="101"/>
      <c r="P595" s="45"/>
      <c r="Q595" s="42"/>
      <c r="R595" s="42"/>
      <c r="S595" s="42"/>
      <c r="T595" s="12">
        <f t="shared" si="366"/>
        <v>0</v>
      </c>
      <c r="U595" s="45"/>
      <c r="V595" s="12">
        <f>+T595*0</f>
        <v>0</v>
      </c>
      <c r="W595" s="12">
        <f t="shared" si="367"/>
        <v>0</v>
      </c>
      <c r="X595" s="12"/>
      <c r="Y595" s="12">
        <f t="shared" si="364"/>
        <v>0</v>
      </c>
      <c r="Z595" s="12"/>
      <c r="AA595" s="12">
        <f t="shared" si="368"/>
        <v>0</v>
      </c>
      <c r="AB595" s="12"/>
      <c r="AC595" s="12">
        <f t="shared" si="369"/>
        <v>0</v>
      </c>
      <c r="AD595" s="42"/>
      <c r="AE595" s="12"/>
    </row>
    <row r="596" spans="1:31" s="46" customFormat="1" ht="21">
      <c r="A596" s="42" t="s">
        <v>0</v>
      </c>
      <c r="B596" s="42" t="s">
        <v>1</v>
      </c>
      <c r="C596" s="45" t="s">
        <v>1153</v>
      </c>
      <c r="D596" s="51" t="s">
        <v>436</v>
      </c>
      <c r="E596" s="10" t="s">
        <v>910</v>
      </c>
      <c r="F596" s="47" t="s">
        <v>167</v>
      </c>
      <c r="G596" s="42"/>
      <c r="H596" s="42"/>
      <c r="I596" s="44">
        <v>21</v>
      </c>
      <c r="J596" s="44">
        <f t="shared" si="365"/>
        <v>21</v>
      </c>
      <c r="K596" s="42">
        <v>25000</v>
      </c>
      <c r="L596" s="42">
        <f t="shared" si="370"/>
        <v>525000</v>
      </c>
      <c r="M596" s="42">
        <v>1</v>
      </c>
      <c r="N596" s="42" t="s">
        <v>60</v>
      </c>
      <c r="O596" s="101" t="s">
        <v>446</v>
      </c>
      <c r="P596" s="45">
        <v>2</v>
      </c>
      <c r="Q596" s="100">
        <v>96</v>
      </c>
      <c r="R596" s="100">
        <v>66.67</v>
      </c>
      <c r="S596" s="42">
        <v>7550</v>
      </c>
      <c r="T596" s="12">
        <f t="shared" si="366"/>
        <v>724800</v>
      </c>
      <c r="U596" s="45" t="s">
        <v>150</v>
      </c>
      <c r="V596" s="12">
        <f>+T596*0.04</f>
        <v>28992</v>
      </c>
      <c r="W596" s="12">
        <f t="shared" si="367"/>
        <v>695808</v>
      </c>
      <c r="X596" s="116"/>
      <c r="Y596" s="117">
        <f>+L596*(R596/100)+W596</f>
        <v>1045825.5</v>
      </c>
      <c r="Z596" s="12"/>
      <c r="AA596" s="12">
        <f t="shared" si="368"/>
        <v>1045825.5</v>
      </c>
      <c r="AB596" s="12">
        <v>0.02</v>
      </c>
      <c r="AC596" s="12">
        <f t="shared" si="369"/>
        <v>209.16510000000002</v>
      </c>
      <c r="AD596" s="42"/>
      <c r="AE596" s="12"/>
    </row>
    <row r="597" spans="1:31" s="46" customFormat="1" ht="21">
      <c r="A597" s="42" t="s">
        <v>0</v>
      </c>
      <c r="B597" s="42"/>
      <c r="C597" s="45"/>
      <c r="D597" s="113"/>
      <c r="E597" s="31"/>
      <c r="F597" s="47"/>
      <c r="G597" s="42"/>
      <c r="H597" s="42"/>
      <c r="I597" s="44"/>
      <c r="J597" s="44">
        <f t="shared" si="365"/>
        <v>0</v>
      </c>
      <c r="K597" s="42"/>
      <c r="L597" s="42">
        <f>+K597*J597</f>
        <v>0</v>
      </c>
      <c r="M597" s="42">
        <v>2</v>
      </c>
      <c r="N597" s="42" t="s">
        <v>60</v>
      </c>
      <c r="O597" s="101" t="s">
        <v>446</v>
      </c>
      <c r="P597" s="45">
        <v>3</v>
      </c>
      <c r="Q597" s="100">
        <v>48</v>
      </c>
      <c r="R597" s="100">
        <v>33.33</v>
      </c>
      <c r="S597" s="42">
        <v>7550</v>
      </c>
      <c r="T597" s="12">
        <f t="shared" si="366"/>
        <v>362400</v>
      </c>
      <c r="U597" s="45" t="s">
        <v>150</v>
      </c>
      <c r="V597" s="12">
        <f>+T597*0.04</f>
        <v>14496</v>
      </c>
      <c r="W597" s="12">
        <f t="shared" si="367"/>
        <v>347904</v>
      </c>
      <c r="X597" s="116"/>
      <c r="Y597" s="117">
        <f>+L596*(R597/100)+W597</f>
        <v>522886.5</v>
      </c>
      <c r="Z597" s="12"/>
      <c r="AA597" s="12">
        <f t="shared" si="368"/>
        <v>522886.5</v>
      </c>
      <c r="AB597" s="12">
        <v>0.3</v>
      </c>
      <c r="AC597" s="12">
        <f t="shared" si="369"/>
        <v>1568.6594999999998</v>
      </c>
      <c r="AD597" s="42"/>
      <c r="AE597" s="12"/>
    </row>
    <row r="598" spans="1:31" s="46" customFormat="1" ht="21">
      <c r="A598" s="42" t="s">
        <v>0</v>
      </c>
      <c r="B598" s="42" t="s">
        <v>1</v>
      </c>
      <c r="C598" s="45" t="s">
        <v>1138</v>
      </c>
      <c r="D598" s="51" t="s">
        <v>437</v>
      </c>
      <c r="E598" s="10" t="s">
        <v>910</v>
      </c>
      <c r="F598" s="47" t="s">
        <v>167</v>
      </c>
      <c r="G598" s="42"/>
      <c r="H598" s="42"/>
      <c r="I598" s="44">
        <v>21</v>
      </c>
      <c r="J598" s="44">
        <f t="shared" si="365"/>
        <v>21</v>
      </c>
      <c r="K598" s="42">
        <v>25000</v>
      </c>
      <c r="L598" s="42">
        <f t="shared" si="370"/>
        <v>525000</v>
      </c>
      <c r="M598" s="42">
        <v>1</v>
      </c>
      <c r="N598" s="42" t="s">
        <v>60</v>
      </c>
      <c r="O598" s="101" t="s">
        <v>446</v>
      </c>
      <c r="P598" s="45">
        <v>3</v>
      </c>
      <c r="Q598" s="100">
        <v>48</v>
      </c>
      <c r="R598" s="100">
        <v>33.33</v>
      </c>
      <c r="S598" s="42">
        <v>7550</v>
      </c>
      <c r="T598" s="12">
        <f t="shared" si="366"/>
        <v>362400</v>
      </c>
      <c r="U598" s="45" t="s">
        <v>150</v>
      </c>
      <c r="V598" s="12">
        <f>+T598*0.04</f>
        <v>14496</v>
      </c>
      <c r="W598" s="12">
        <f t="shared" si="367"/>
        <v>347904</v>
      </c>
      <c r="X598" s="116"/>
      <c r="Y598" s="117">
        <f>+L598*(R598/100)+W598</f>
        <v>522886.5</v>
      </c>
      <c r="Z598" s="12"/>
      <c r="AA598" s="12">
        <f t="shared" si="368"/>
        <v>522886.5</v>
      </c>
      <c r="AB598" s="12">
        <v>0.3</v>
      </c>
      <c r="AC598" s="12">
        <f t="shared" si="369"/>
        <v>1568.6594999999998</v>
      </c>
      <c r="AD598" s="42"/>
      <c r="AE598" s="12"/>
    </row>
    <row r="599" spans="1:31" s="46" customFormat="1" ht="21">
      <c r="A599" s="42" t="s">
        <v>0</v>
      </c>
      <c r="B599" s="42"/>
      <c r="C599" s="45"/>
      <c r="D599" s="45"/>
      <c r="E599" s="31"/>
      <c r="F599" s="47"/>
      <c r="G599" s="42"/>
      <c r="H599" s="42"/>
      <c r="I599" s="44"/>
      <c r="J599" s="44">
        <f t="shared" si="365"/>
        <v>0</v>
      </c>
      <c r="K599" s="42"/>
      <c r="L599" s="42">
        <f t="shared" si="370"/>
        <v>0</v>
      </c>
      <c r="M599" s="42">
        <v>2</v>
      </c>
      <c r="N599" s="42" t="s">
        <v>60</v>
      </c>
      <c r="O599" s="101" t="s">
        <v>446</v>
      </c>
      <c r="P599" s="45">
        <v>2</v>
      </c>
      <c r="Q599" s="100">
        <v>96</v>
      </c>
      <c r="R599" s="100">
        <v>66.67</v>
      </c>
      <c r="S599" s="42">
        <v>7550</v>
      </c>
      <c r="T599" s="12">
        <f t="shared" si="366"/>
        <v>724800</v>
      </c>
      <c r="U599" s="45" t="s">
        <v>150</v>
      </c>
      <c r="V599" s="12">
        <f>+T599*0.04</f>
        <v>28992</v>
      </c>
      <c r="W599" s="12">
        <f t="shared" si="367"/>
        <v>695808</v>
      </c>
      <c r="X599" s="116"/>
      <c r="Y599" s="117">
        <f>+L598*(R599/100)+W599</f>
        <v>1045825.5</v>
      </c>
      <c r="Z599" s="12"/>
      <c r="AA599" s="12">
        <f t="shared" si="368"/>
        <v>1045825.5</v>
      </c>
      <c r="AB599" s="12">
        <v>0.02</v>
      </c>
      <c r="AC599" s="12">
        <f t="shared" si="369"/>
        <v>209.16510000000002</v>
      </c>
      <c r="AD599" s="42"/>
      <c r="AE599" s="12"/>
    </row>
    <row r="600" spans="1:31" s="46" customFormat="1" ht="21">
      <c r="A600" s="42"/>
      <c r="B600" s="42"/>
      <c r="C600" s="45"/>
      <c r="D600" s="31"/>
      <c r="E600" s="31"/>
      <c r="F600" s="47"/>
      <c r="G600" s="42"/>
      <c r="H600" s="42"/>
      <c r="I600" s="44"/>
      <c r="J600" s="44">
        <f t="shared" si="365"/>
        <v>0</v>
      </c>
      <c r="K600" s="42"/>
      <c r="L600" s="42">
        <f t="shared" si="370"/>
        <v>0</v>
      </c>
      <c r="M600" s="42"/>
      <c r="N600" s="42"/>
      <c r="O600" s="101"/>
      <c r="P600" s="45"/>
      <c r="Q600" s="42"/>
      <c r="R600" s="42"/>
      <c r="S600" s="42"/>
      <c r="T600" s="12">
        <f t="shared" si="366"/>
        <v>0</v>
      </c>
      <c r="U600" s="45"/>
      <c r="V600" s="12">
        <f>+T600*0</f>
        <v>0</v>
      </c>
      <c r="W600" s="12">
        <f t="shared" si="367"/>
        <v>0</v>
      </c>
      <c r="X600" s="12"/>
      <c r="Y600" s="12">
        <f aca="true" t="shared" si="371" ref="Y600:Y619">+L600+W600</f>
        <v>0</v>
      </c>
      <c r="Z600" s="12"/>
      <c r="AA600" s="12">
        <f t="shared" si="368"/>
        <v>0</v>
      </c>
      <c r="AB600" s="12"/>
      <c r="AC600" s="12">
        <f t="shared" si="369"/>
        <v>0</v>
      </c>
      <c r="AD600" s="42"/>
      <c r="AE600" s="12"/>
    </row>
    <row r="601" spans="1:31" s="46" customFormat="1" ht="21">
      <c r="A601" s="42" t="s">
        <v>0</v>
      </c>
      <c r="B601" s="42" t="s">
        <v>1</v>
      </c>
      <c r="C601" s="45" t="s">
        <v>1561</v>
      </c>
      <c r="D601" s="45" t="s">
        <v>438</v>
      </c>
      <c r="E601" s="29" t="s">
        <v>907</v>
      </c>
      <c r="F601" s="47" t="s">
        <v>137</v>
      </c>
      <c r="G601" s="42"/>
      <c r="H601" s="42"/>
      <c r="I601" s="44">
        <v>49.8</v>
      </c>
      <c r="J601" s="44">
        <f t="shared" si="365"/>
        <v>49.8</v>
      </c>
      <c r="K601" s="42">
        <v>10000</v>
      </c>
      <c r="L601" s="42">
        <f t="shared" si="370"/>
        <v>498000</v>
      </c>
      <c r="M601" s="42"/>
      <c r="N601" s="42" t="s">
        <v>117</v>
      </c>
      <c r="O601" s="104" t="s">
        <v>446</v>
      </c>
      <c r="P601" s="45">
        <v>2</v>
      </c>
      <c r="Q601" s="104">
        <v>48</v>
      </c>
      <c r="R601" s="100"/>
      <c r="S601" s="42">
        <v>2500</v>
      </c>
      <c r="T601" s="12">
        <f t="shared" si="366"/>
        <v>120000</v>
      </c>
      <c r="U601" s="102" t="s">
        <v>84</v>
      </c>
      <c r="V601" s="12">
        <f>+T601*0.2</f>
        <v>24000</v>
      </c>
      <c r="W601" s="12">
        <f t="shared" si="367"/>
        <v>96000</v>
      </c>
      <c r="X601" s="116"/>
      <c r="Y601" s="117">
        <f t="shared" si="371"/>
        <v>594000</v>
      </c>
      <c r="Z601" s="12"/>
      <c r="AA601" s="12">
        <f t="shared" si="368"/>
        <v>594000</v>
      </c>
      <c r="AB601" s="12">
        <v>0.02</v>
      </c>
      <c r="AC601" s="12">
        <f t="shared" si="369"/>
        <v>118.8</v>
      </c>
      <c r="AD601" s="42"/>
      <c r="AE601" s="12"/>
    </row>
    <row r="602" spans="1:31" s="46" customFormat="1" ht="21">
      <c r="A602" s="42" t="s">
        <v>0</v>
      </c>
      <c r="B602" s="42" t="s">
        <v>1</v>
      </c>
      <c r="C602" s="45" t="s">
        <v>1562</v>
      </c>
      <c r="D602" s="45" t="s">
        <v>439</v>
      </c>
      <c r="E602" s="29" t="s">
        <v>907</v>
      </c>
      <c r="F602" s="47" t="s">
        <v>137</v>
      </c>
      <c r="G602" s="42"/>
      <c r="H602" s="42"/>
      <c r="I602" s="44">
        <v>37.7</v>
      </c>
      <c r="J602" s="44">
        <f t="shared" si="365"/>
        <v>37.7</v>
      </c>
      <c r="K602" s="42">
        <v>40000</v>
      </c>
      <c r="L602" s="42">
        <f t="shared" si="370"/>
        <v>1508000</v>
      </c>
      <c r="M602" s="42"/>
      <c r="N602" s="42" t="s">
        <v>64</v>
      </c>
      <c r="O602" s="101" t="s">
        <v>446</v>
      </c>
      <c r="P602" s="45">
        <v>2</v>
      </c>
      <c r="Q602" s="100">
        <v>120</v>
      </c>
      <c r="R602" s="100"/>
      <c r="S602" s="42">
        <v>6550</v>
      </c>
      <c r="T602" s="12">
        <f t="shared" si="366"/>
        <v>786000</v>
      </c>
      <c r="U602" s="45" t="s">
        <v>337</v>
      </c>
      <c r="V602" s="12">
        <f>+T602*0.06</f>
        <v>47160</v>
      </c>
      <c r="W602" s="12">
        <f t="shared" si="367"/>
        <v>738840</v>
      </c>
      <c r="X602" s="116"/>
      <c r="Y602" s="117">
        <f t="shared" si="371"/>
        <v>2246840</v>
      </c>
      <c r="Z602" s="12"/>
      <c r="AA602" s="12">
        <f t="shared" si="368"/>
        <v>2246840</v>
      </c>
      <c r="AB602" s="12">
        <v>0.02</v>
      </c>
      <c r="AC602" s="12">
        <f t="shared" si="369"/>
        <v>449.36800000000005</v>
      </c>
      <c r="AD602" s="42"/>
      <c r="AE602" s="12"/>
    </row>
    <row r="603" spans="1:31" s="46" customFormat="1" ht="21">
      <c r="A603" s="42"/>
      <c r="B603" s="42"/>
      <c r="C603" s="45"/>
      <c r="D603" s="31"/>
      <c r="E603" s="31"/>
      <c r="F603" s="47"/>
      <c r="G603" s="42"/>
      <c r="H603" s="42"/>
      <c r="I603" s="44"/>
      <c r="J603" s="44">
        <f t="shared" si="365"/>
        <v>0</v>
      </c>
      <c r="K603" s="42"/>
      <c r="L603" s="42">
        <f t="shared" si="370"/>
        <v>0</v>
      </c>
      <c r="M603" s="42"/>
      <c r="N603" s="42"/>
      <c r="O603" s="101"/>
      <c r="P603" s="45"/>
      <c r="Q603" s="42"/>
      <c r="R603" s="42"/>
      <c r="S603" s="42"/>
      <c r="T603" s="12">
        <f t="shared" si="366"/>
        <v>0</v>
      </c>
      <c r="U603" s="45"/>
      <c r="V603" s="12">
        <f>+T603*0</f>
        <v>0</v>
      </c>
      <c r="W603" s="12">
        <f t="shared" si="367"/>
        <v>0</v>
      </c>
      <c r="X603" s="12"/>
      <c r="Y603" s="12">
        <f t="shared" si="371"/>
        <v>0</v>
      </c>
      <c r="Z603" s="12"/>
      <c r="AA603" s="12">
        <f t="shared" si="368"/>
        <v>0</v>
      </c>
      <c r="AB603" s="12"/>
      <c r="AC603" s="12">
        <f t="shared" si="369"/>
        <v>0</v>
      </c>
      <c r="AD603" s="42"/>
      <c r="AE603" s="12"/>
    </row>
    <row r="604" spans="1:31" s="46" customFormat="1" ht="21">
      <c r="A604" s="42"/>
      <c r="B604" s="42"/>
      <c r="C604" s="45"/>
      <c r="D604" s="31"/>
      <c r="E604" s="31"/>
      <c r="F604" s="47"/>
      <c r="G604" s="42"/>
      <c r="H604" s="42"/>
      <c r="I604" s="44"/>
      <c r="J604" s="44">
        <f t="shared" si="365"/>
        <v>0</v>
      </c>
      <c r="K604" s="42"/>
      <c r="L604" s="42">
        <f t="shared" si="370"/>
        <v>0</v>
      </c>
      <c r="M604" s="42"/>
      <c r="N604" s="42"/>
      <c r="O604" s="101"/>
      <c r="P604" s="45"/>
      <c r="Q604" s="42"/>
      <c r="R604" s="42"/>
      <c r="S604" s="42"/>
      <c r="T604" s="12">
        <f t="shared" si="366"/>
        <v>0</v>
      </c>
      <c r="U604" s="45"/>
      <c r="V604" s="12">
        <f>+T604*0</f>
        <v>0</v>
      </c>
      <c r="W604" s="12">
        <f t="shared" si="367"/>
        <v>0</v>
      </c>
      <c r="X604" s="12"/>
      <c r="Y604" s="12">
        <f t="shared" si="371"/>
        <v>0</v>
      </c>
      <c r="Z604" s="12"/>
      <c r="AA604" s="12">
        <f t="shared" si="368"/>
        <v>0</v>
      </c>
      <c r="AB604" s="12"/>
      <c r="AC604" s="12">
        <f t="shared" si="369"/>
        <v>0</v>
      </c>
      <c r="AD604" s="42"/>
      <c r="AE604" s="12"/>
    </row>
    <row r="605" spans="1:31" s="46" customFormat="1" ht="21">
      <c r="A605" s="42" t="s">
        <v>0</v>
      </c>
      <c r="B605" s="42" t="s">
        <v>1</v>
      </c>
      <c r="C605" s="45" t="s">
        <v>1563</v>
      </c>
      <c r="D605" s="45" t="s">
        <v>440</v>
      </c>
      <c r="E605" s="10" t="s">
        <v>909</v>
      </c>
      <c r="F605" s="47" t="s">
        <v>137</v>
      </c>
      <c r="G605" s="42"/>
      <c r="H605" s="42"/>
      <c r="I605" s="44">
        <v>21.6</v>
      </c>
      <c r="J605" s="44">
        <f aca="true" t="shared" si="372" ref="J605:J610">+I605+(H605*100)+(G605*400)</f>
        <v>21.6</v>
      </c>
      <c r="K605" s="42">
        <v>15000</v>
      </c>
      <c r="L605" s="42">
        <f t="shared" si="370"/>
        <v>324000</v>
      </c>
      <c r="M605" s="42"/>
      <c r="N605" s="42" t="s">
        <v>62</v>
      </c>
      <c r="O605" s="101" t="s">
        <v>446</v>
      </c>
      <c r="P605" s="45">
        <v>2</v>
      </c>
      <c r="Q605" s="100">
        <v>135</v>
      </c>
      <c r="R605" s="100"/>
      <c r="S605" s="42">
        <v>6750</v>
      </c>
      <c r="T605" s="12">
        <f aca="true" t="shared" si="373" ref="T605:T610">+Q605*S605</f>
        <v>911250</v>
      </c>
      <c r="U605" s="102" t="s">
        <v>83</v>
      </c>
      <c r="V605" s="12">
        <f>+T605*0.18</f>
        <v>164025</v>
      </c>
      <c r="W605" s="12">
        <f aca="true" t="shared" si="374" ref="W605:W610">+T605-V605</f>
        <v>747225</v>
      </c>
      <c r="X605" s="116"/>
      <c r="Y605" s="117">
        <f t="shared" si="371"/>
        <v>1071225</v>
      </c>
      <c r="Z605" s="12">
        <f>+Y605</f>
        <v>1071225</v>
      </c>
      <c r="AA605" s="12">
        <f aca="true" t="shared" si="375" ref="AA605:AA610">+Y605-Z605</f>
        <v>0</v>
      </c>
      <c r="AB605" s="12"/>
      <c r="AC605" s="12">
        <f aca="true" t="shared" si="376" ref="AC605:AC610">+AA605*AB605/100</f>
        <v>0</v>
      </c>
      <c r="AD605" s="31" t="s">
        <v>906</v>
      </c>
      <c r="AE605" s="12"/>
    </row>
    <row r="606" spans="1:31" s="46" customFormat="1" ht="21">
      <c r="A606" s="42"/>
      <c r="B606" s="42"/>
      <c r="C606" s="45"/>
      <c r="D606" s="31"/>
      <c r="E606" s="31"/>
      <c r="F606" s="47"/>
      <c r="G606" s="42"/>
      <c r="H606" s="42"/>
      <c r="I606" s="44"/>
      <c r="J606" s="44">
        <f t="shared" si="372"/>
        <v>0</v>
      </c>
      <c r="K606" s="42"/>
      <c r="L606" s="42">
        <f t="shared" si="370"/>
        <v>0</v>
      </c>
      <c r="M606" s="42"/>
      <c r="N606" s="42"/>
      <c r="O606" s="101"/>
      <c r="P606" s="45"/>
      <c r="Q606" s="42"/>
      <c r="R606" s="42"/>
      <c r="S606" s="42"/>
      <c r="T606" s="12">
        <f t="shared" si="373"/>
        <v>0</v>
      </c>
      <c r="U606" s="45"/>
      <c r="V606" s="12">
        <f>+T606*0</f>
        <v>0</v>
      </c>
      <c r="W606" s="12">
        <f t="shared" si="374"/>
        <v>0</v>
      </c>
      <c r="X606" s="12"/>
      <c r="Y606" s="12">
        <f t="shared" si="371"/>
        <v>0</v>
      </c>
      <c r="Z606" s="12"/>
      <c r="AA606" s="12">
        <f t="shared" si="375"/>
        <v>0</v>
      </c>
      <c r="AB606" s="12"/>
      <c r="AC606" s="12">
        <f t="shared" si="376"/>
        <v>0</v>
      </c>
      <c r="AD606" s="42"/>
      <c r="AE606" s="12"/>
    </row>
    <row r="607" spans="1:31" s="46" customFormat="1" ht="21">
      <c r="A607" s="42"/>
      <c r="B607" s="42"/>
      <c r="C607" s="45"/>
      <c r="D607" s="31"/>
      <c r="E607" s="31"/>
      <c r="F607" s="47"/>
      <c r="G607" s="42"/>
      <c r="H607" s="42"/>
      <c r="I607" s="44"/>
      <c r="J607" s="44">
        <f t="shared" si="372"/>
        <v>0</v>
      </c>
      <c r="K607" s="42"/>
      <c r="L607" s="42">
        <f t="shared" si="370"/>
        <v>0</v>
      </c>
      <c r="M607" s="42"/>
      <c r="N607" s="42"/>
      <c r="O607" s="101"/>
      <c r="P607" s="45"/>
      <c r="Q607" s="42"/>
      <c r="R607" s="42"/>
      <c r="S607" s="42"/>
      <c r="T607" s="12">
        <f t="shared" si="373"/>
        <v>0</v>
      </c>
      <c r="U607" s="45"/>
      <c r="V607" s="12">
        <f>+T607*0</f>
        <v>0</v>
      </c>
      <c r="W607" s="12">
        <f t="shared" si="374"/>
        <v>0</v>
      </c>
      <c r="X607" s="12"/>
      <c r="Y607" s="12">
        <f t="shared" si="371"/>
        <v>0</v>
      </c>
      <c r="Z607" s="12"/>
      <c r="AA607" s="12">
        <f t="shared" si="375"/>
        <v>0</v>
      </c>
      <c r="AB607" s="12"/>
      <c r="AC607" s="12">
        <f t="shared" si="376"/>
        <v>0</v>
      </c>
      <c r="AD607" s="42"/>
      <c r="AE607" s="12"/>
    </row>
    <row r="608" spans="1:31" s="46" customFormat="1" ht="21">
      <c r="A608" s="42" t="s">
        <v>0</v>
      </c>
      <c r="B608" s="42" t="s">
        <v>1</v>
      </c>
      <c r="C608" s="45" t="s">
        <v>1564</v>
      </c>
      <c r="D608" s="45" t="s">
        <v>441</v>
      </c>
      <c r="E608" s="29" t="s">
        <v>907</v>
      </c>
      <c r="F608" s="47" t="s">
        <v>137</v>
      </c>
      <c r="G608" s="42"/>
      <c r="H608" s="42"/>
      <c r="I608" s="44">
        <v>65.7</v>
      </c>
      <c r="J608" s="44">
        <f>+I608+(H608*100)+(G608*400)</f>
        <v>65.7</v>
      </c>
      <c r="K608" s="42">
        <v>8000</v>
      </c>
      <c r="L608" s="42">
        <f t="shared" si="370"/>
        <v>525600</v>
      </c>
      <c r="M608" s="42"/>
      <c r="N608" s="42" t="s">
        <v>64</v>
      </c>
      <c r="O608" s="101" t="s">
        <v>447</v>
      </c>
      <c r="P608" s="45">
        <v>2</v>
      </c>
      <c r="Q608" s="100">
        <v>168</v>
      </c>
      <c r="R608" s="100"/>
      <c r="S608" s="42">
        <v>6550</v>
      </c>
      <c r="T608" s="12">
        <f>+Q608*S608</f>
        <v>1100400</v>
      </c>
      <c r="U608" s="102" t="s">
        <v>460</v>
      </c>
      <c r="V608" s="12">
        <f>+T608*0.5</f>
        <v>550200</v>
      </c>
      <c r="W608" s="12">
        <f>+T608-V608</f>
        <v>550200</v>
      </c>
      <c r="X608" s="116"/>
      <c r="Y608" s="117">
        <f t="shared" si="371"/>
        <v>1075800</v>
      </c>
      <c r="Z608" s="12"/>
      <c r="AA608" s="12">
        <f>+Y608-Z608</f>
        <v>1075800</v>
      </c>
      <c r="AB608" s="12">
        <v>0.02</v>
      </c>
      <c r="AC608" s="12">
        <f>+AA608*AB608/100</f>
        <v>215.16</v>
      </c>
      <c r="AD608" s="42"/>
      <c r="AE608" s="12"/>
    </row>
    <row r="609" spans="1:31" s="46" customFormat="1" ht="21">
      <c r="A609" s="42"/>
      <c r="B609" s="42"/>
      <c r="C609" s="45"/>
      <c r="D609" s="31"/>
      <c r="E609" s="31"/>
      <c r="F609" s="47"/>
      <c r="G609" s="42"/>
      <c r="H609" s="42"/>
      <c r="I609" s="44"/>
      <c r="J609" s="44">
        <f>+I609+(H609*100)+(G609*400)</f>
        <v>0</v>
      </c>
      <c r="K609" s="42"/>
      <c r="L609" s="42">
        <f t="shared" si="370"/>
        <v>0</v>
      </c>
      <c r="M609" s="42"/>
      <c r="N609" s="42"/>
      <c r="O609" s="101"/>
      <c r="P609" s="45"/>
      <c r="Q609" s="42"/>
      <c r="R609" s="42"/>
      <c r="S609" s="42"/>
      <c r="T609" s="12">
        <f>+Q609*S609</f>
        <v>0</v>
      </c>
      <c r="U609" s="45"/>
      <c r="V609" s="12">
        <f>+T609*0</f>
        <v>0</v>
      </c>
      <c r="W609" s="12">
        <f>+T609-V609</f>
        <v>0</v>
      </c>
      <c r="X609" s="12"/>
      <c r="Y609" s="12">
        <f t="shared" si="371"/>
        <v>0</v>
      </c>
      <c r="Z609" s="12"/>
      <c r="AA609" s="12">
        <f>+Y609-Z609</f>
        <v>0</v>
      </c>
      <c r="AB609" s="12"/>
      <c r="AC609" s="12">
        <f>+AA609*AB609/100</f>
        <v>0</v>
      </c>
      <c r="AD609" s="42"/>
      <c r="AE609" s="12"/>
    </row>
    <row r="610" spans="1:31" s="46" customFormat="1" ht="21">
      <c r="A610" s="42"/>
      <c r="B610" s="42"/>
      <c r="C610" s="45"/>
      <c r="D610" s="31"/>
      <c r="E610" s="31"/>
      <c r="F610" s="47"/>
      <c r="G610" s="42"/>
      <c r="H610" s="42"/>
      <c r="I610" s="44"/>
      <c r="J610" s="44">
        <f t="shared" si="372"/>
        <v>0</v>
      </c>
      <c r="K610" s="42"/>
      <c r="L610" s="42">
        <f t="shared" si="370"/>
        <v>0</v>
      </c>
      <c r="M610" s="42"/>
      <c r="N610" s="42"/>
      <c r="O610" s="101"/>
      <c r="P610" s="45"/>
      <c r="Q610" s="42"/>
      <c r="R610" s="42"/>
      <c r="S610" s="42"/>
      <c r="T610" s="12">
        <f t="shared" si="373"/>
        <v>0</v>
      </c>
      <c r="U610" s="45"/>
      <c r="V610" s="12">
        <f>+T610*0</f>
        <v>0</v>
      </c>
      <c r="W610" s="12">
        <f t="shared" si="374"/>
        <v>0</v>
      </c>
      <c r="X610" s="12"/>
      <c r="Y610" s="12">
        <f t="shared" si="371"/>
        <v>0</v>
      </c>
      <c r="Z610" s="12"/>
      <c r="AA610" s="12">
        <f t="shared" si="375"/>
        <v>0</v>
      </c>
      <c r="AB610" s="12"/>
      <c r="AC610" s="12">
        <f t="shared" si="376"/>
        <v>0</v>
      </c>
      <c r="AD610" s="42"/>
      <c r="AE610" s="12"/>
    </row>
    <row r="611" spans="1:31" s="46" customFormat="1" ht="21">
      <c r="A611" s="42" t="s">
        <v>0</v>
      </c>
      <c r="B611" s="42" t="s">
        <v>1</v>
      </c>
      <c r="C611" s="45" t="s">
        <v>1565</v>
      </c>
      <c r="D611" s="51" t="s">
        <v>442</v>
      </c>
      <c r="E611" s="29" t="s">
        <v>907</v>
      </c>
      <c r="F611" s="47" t="s">
        <v>137</v>
      </c>
      <c r="G611" s="42"/>
      <c r="H611" s="42"/>
      <c r="I611" s="44">
        <v>28.8</v>
      </c>
      <c r="J611" s="44">
        <f aca="true" t="shared" si="377" ref="J611:J619">+I611+(H611*100)+(G611*400)</f>
        <v>28.8</v>
      </c>
      <c r="K611" s="42">
        <v>15000</v>
      </c>
      <c r="L611" s="42">
        <f aca="true" t="shared" si="378" ref="L611:L627">+K611*J611</f>
        <v>432000</v>
      </c>
      <c r="M611" s="42"/>
      <c r="N611" s="42" t="s">
        <v>60</v>
      </c>
      <c r="O611" s="101" t="s">
        <v>446</v>
      </c>
      <c r="P611" s="45">
        <v>2</v>
      </c>
      <c r="Q611" s="100">
        <v>128</v>
      </c>
      <c r="R611" s="100"/>
      <c r="S611" s="42">
        <v>7550</v>
      </c>
      <c r="T611" s="12">
        <f aca="true" t="shared" si="379" ref="T611:T619">+Q611*S611</f>
        <v>966400</v>
      </c>
      <c r="U611" s="45" t="s">
        <v>150</v>
      </c>
      <c r="V611" s="12">
        <f>+T611*0.04</f>
        <v>38656</v>
      </c>
      <c r="W611" s="12">
        <f aca="true" t="shared" si="380" ref="W611:W619">+T611-V611</f>
        <v>927744</v>
      </c>
      <c r="X611" s="116"/>
      <c r="Y611" s="117">
        <f t="shared" si="371"/>
        <v>1359744</v>
      </c>
      <c r="Z611" s="12"/>
      <c r="AA611" s="12">
        <f aca="true" t="shared" si="381" ref="AA611:AA619">+Y611-Z611</f>
        <v>1359744</v>
      </c>
      <c r="AB611" s="12">
        <v>0.02</v>
      </c>
      <c r="AC611" s="12">
        <f aca="true" t="shared" si="382" ref="AC611:AC619">+AA611*AB611/100</f>
        <v>271.9488</v>
      </c>
      <c r="AD611" s="42"/>
      <c r="AE611" s="12"/>
    </row>
    <row r="612" spans="1:31" s="46" customFormat="1" ht="21">
      <c r="A612" s="42" t="s">
        <v>0</v>
      </c>
      <c r="B612" s="42"/>
      <c r="C612" s="45"/>
      <c r="D612" s="45"/>
      <c r="E612" s="31"/>
      <c r="F612" s="47"/>
      <c r="G612" s="42"/>
      <c r="H612" s="42"/>
      <c r="I612" s="44"/>
      <c r="J612" s="44">
        <f t="shared" si="377"/>
        <v>0</v>
      </c>
      <c r="K612" s="42"/>
      <c r="L612" s="42">
        <f t="shared" si="378"/>
        <v>0</v>
      </c>
      <c r="M612" s="42"/>
      <c r="N612" s="42"/>
      <c r="O612" s="101"/>
      <c r="P612" s="45"/>
      <c r="Q612" s="42"/>
      <c r="R612" s="100"/>
      <c r="S612" s="42"/>
      <c r="T612" s="12">
        <f t="shared" si="379"/>
        <v>0</v>
      </c>
      <c r="U612" s="45"/>
      <c r="V612" s="12">
        <f>+T612*0</f>
        <v>0</v>
      </c>
      <c r="W612" s="12">
        <f t="shared" si="380"/>
        <v>0</v>
      </c>
      <c r="X612" s="116"/>
      <c r="Y612" s="117">
        <f t="shared" si="371"/>
        <v>0</v>
      </c>
      <c r="Z612" s="12"/>
      <c r="AA612" s="12">
        <f t="shared" si="381"/>
        <v>0</v>
      </c>
      <c r="AB612" s="12"/>
      <c r="AC612" s="12">
        <f t="shared" si="382"/>
        <v>0</v>
      </c>
      <c r="AD612" s="42"/>
      <c r="AE612" s="12"/>
    </row>
    <row r="613" spans="1:31" s="46" customFormat="1" ht="21">
      <c r="A613" s="42"/>
      <c r="B613" s="42"/>
      <c r="C613" s="45"/>
      <c r="D613" s="31"/>
      <c r="E613" s="31"/>
      <c r="F613" s="47"/>
      <c r="G613" s="42"/>
      <c r="H613" s="42"/>
      <c r="I613" s="44"/>
      <c r="J613" s="44">
        <f t="shared" si="377"/>
        <v>0</v>
      </c>
      <c r="K613" s="42"/>
      <c r="L613" s="42">
        <f t="shared" si="378"/>
        <v>0</v>
      </c>
      <c r="M613" s="42"/>
      <c r="N613" s="42"/>
      <c r="O613" s="101"/>
      <c r="P613" s="45"/>
      <c r="Q613" s="42"/>
      <c r="R613" s="42"/>
      <c r="S613" s="42"/>
      <c r="T613" s="12">
        <f t="shared" si="379"/>
        <v>0</v>
      </c>
      <c r="U613" s="45"/>
      <c r="V613" s="12">
        <f>+T613*0</f>
        <v>0</v>
      </c>
      <c r="W613" s="12">
        <f t="shared" si="380"/>
        <v>0</v>
      </c>
      <c r="X613" s="12"/>
      <c r="Y613" s="12">
        <f t="shared" si="371"/>
        <v>0</v>
      </c>
      <c r="Z613" s="12"/>
      <c r="AA613" s="12">
        <f t="shared" si="381"/>
        <v>0</v>
      </c>
      <c r="AB613" s="12"/>
      <c r="AC613" s="12">
        <f t="shared" si="382"/>
        <v>0</v>
      </c>
      <c r="AD613" s="42"/>
      <c r="AE613" s="12"/>
    </row>
    <row r="614" spans="1:31" s="46" customFormat="1" ht="21">
      <c r="A614" s="42" t="s">
        <v>0</v>
      </c>
      <c r="B614" s="42" t="s">
        <v>1</v>
      </c>
      <c r="C614" s="45" t="s">
        <v>1566</v>
      </c>
      <c r="D614" s="45" t="s">
        <v>443</v>
      </c>
      <c r="E614" s="29" t="s">
        <v>907</v>
      </c>
      <c r="F614" s="47" t="s">
        <v>137</v>
      </c>
      <c r="G614" s="42"/>
      <c r="H614" s="42"/>
      <c r="I614" s="44">
        <v>14</v>
      </c>
      <c r="J614" s="44">
        <f t="shared" si="377"/>
        <v>14</v>
      </c>
      <c r="K614" s="42">
        <v>8000</v>
      </c>
      <c r="L614" s="42">
        <f t="shared" si="378"/>
        <v>112000</v>
      </c>
      <c r="M614" s="42"/>
      <c r="N614" s="42" t="s">
        <v>60</v>
      </c>
      <c r="O614" s="101" t="s">
        <v>446</v>
      </c>
      <c r="P614" s="45">
        <v>2</v>
      </c>
      <c r="Q614" s="100">
        <v>56</v>
      </c>
      <c r="R614" s="100"/>
      <c r="S614" s="42">
        <v>7550</v>
      </c>
      <c r="T614" s="12">
        <f t="shared" si="379"/>
        <v>422800</v>
      </c>
      <c r="U614" s="102" t="s">
        <v>87</v>
      </c>
      <c r="V614" s="12">
        <f>+T614*0.28</f>
        <v>118384.00000000001</v>
      </c>
      <c r="W614" s="12">
        <f t="shared" si="380"/>
        <v>304416</v>
      </c>
      <c r="X614" s="116"/>
      <c r="Y614" s="117">
        <f t="shared" si="371"/>
        <v>416416</v>
      </c>
      <c r="Z614" s="12"/>
      <c r="AA614" s="12">
        <f t="shared" si="381"/>
        <v>416416</v>
      </c>
      <c r="AB614" s="12">
        <v>0.02</v>
      </c>
      <c r="AC614" s="12">
        <f t="shared" si="382"/>
        <v>83.2832</v>
      </c>
      <c r="AD614" s="42"/>
      <c r="AE614" s="12"/>
    </row>
    <row r="615" spans="1:31" s="46" customFormat="1" ht="21">
      <c r="A615" s="42"/>
      <c r="B615" s="42"/>
      <c r="C615" s="45"/>
      <c r="D615" s="31"/>
      <c r="E615" s="31"/>
      <c r="F615" s="47"/>
      <c r="G615" s="42"/>
      <c r="H615" s="42"/>
      <c r="I615" s="44"/>
      <c r="J615" s="44">
        <f t="shared" si="377"/>
        <v>0</v>
      </c>
      <c r="K615" s="42"/>
      <c r="L615" s="42">
        <f t="shared" si="378"/>
        <v>0</v>
      </c>
      <c r="M615" s="42"/>
      <c r="N615" s="42"/>
      <c r="O615" s="101"/>
      <c r="P615" s="45"/>
      <c r="Q615" s="42"/>
      <c r="R615" s="42"/>
      <c r="S615" s="42"/>
      <c r="T615" s="12">
        <f t="shared" si="379"/>
        <v>0</v>
      </c>
      <c r="U615" s="45"/>
      <c r="V615" s="12">
        <f aca="true" t="shared" si="383" ref="V615:V623">+T615*0</f>
        <v>0</v>
      </c>
      <c r="W615" s="12">
        <f t="shared" si="380"/>
        <v>0</v>
      </c>
      <c r="X615" s="12"/>
      <c r="Y615" s="12">
        <f t="shared" si="371"/>
        <v>0</v>
      </c>
      <c r="Z615" s="12"/>
      <c r="AA615" s="12">
        <f t="shared" si="381"/>
        <v>0</v>
      </c>
      <c r="AB615" s="12"/>
      <c r="AC615" s="12">
        <f t="shared" si="382"/>
        <v>0</v>
      </c>
      <c r="AD615" s="42"/>
      <c r="AE615" s="12"/>
    </row>
    <row r="616" spans="1:31" s="46" customFormat="1" ht="21">
      <c r="A616" s="42"/>
      <c r="B616" s="42"/>
      <c r="C616" s="45"/>
      <c r="D616" s="31"/>
      <c r="E616" s="31"/>
      <c r="F616" s="47"/>
      <c r="G616" s="42"/>
      <c r="H616" s="42"/>
      <c r="I616" s="44"/>
      <c r="J616" s="44">
        <f t="shared" si="377"/>
        <v>0</v>
      </c>
      <c r="K616" s="42"/>
      <c r="L616" s="42">
        <f t="shared" si="378"/>
        <v>0</v>
      </c>
      <c r="M616" s="42"/>
      <c r="N616" s="42"/>
      <c r="O616" s="101"/>
      <c r="P616" s="45"/>
      <c r="Q616" s="42"/>
      <c r="R616" s="42"/>
      <c r="S616" s="42"/>
      <c r="T616" s="12">
        <f t="shared" si="379"/>
        <v>0</v>
      </c>
      <c r="U616" s="45"/>
      <c r="V616" s="12">
        <f t="shared" si="383"/>
        <v>0</v>
      </c>
      <c r="W616" s="12">
        <f t="shared" si="380"/>
        <v>0</v>
      </c>
      <c r="X616" s="12"/>
      <c r="Y616" s="12">
        <f t="shared" si="371"/>
        <v>0</v>
      </c>
      <c r="Z616" s="12"/>
      <c r="AA616" s="12">
        <f t="shared" si="381"/>
        <v>0</v>
      </c>
      <c r="AB616" s="12"/>
      <c r="AC616" s="12">
        <f t="shared" si="382"/>
        <v>0</v>
      </c>
      <c r="AD616" s="42"/>
      <c r="AE616" s="12"/>
    </row>
    <row r="617" spans="1:31" s="46" customFormat="1" ht="21">
      <c r="A617" s="42" t="s">
        <v>0</v>
      </c>
      <c r="B617" s="42" t="s">
        <v>1</v>
      </c>
      <c r="C617" s="45" t="s">
        <v>1567</v>
      </c>
      <c r="D617" s="45" t="s">
        <v>444</v>
      </c>
      <c r="E617" s="29" t="s">
        <v>907</v>
      </c>
      <c r="F617" s="47" t="s">
        <v>140</v>
      </c>
      <c r="G617" s="42"/>
      <c r="H617" s="42"/>
      <c r="I617" s="44">
        <v>50</v>
      </c>
      <c r="J617" s="44">
        <f t="shared" si="377"/>
        <v>50</v>
      </c>
      <c r="K617" s="42">
        <v>6000</v>
      </c>
      <c r="L617" s="42">
        <f t="shared" si="378"/>
        <v>300000</v>
      </c>
      <c r="M617" s="42"/>
      <c r="N617" s="42"/>
      <c r="O617" s="101"/>
      <c r="P617" s="45"/>
      <c r="Q617" s="42"/>
      <c r="R617" s="100"/>
      <c r="S617" s="42"/>
      <c r="T617" s="12">
        <f t="shared" si="379"/>
        <v>0</v>
      </c>
      <c r="U617" s="45"/>
      <c r="V617" s="12">
        <f t="shared" si="383"/>
        <v>0</v>
      </c>
      <c r="W617" s="12">
        <f t="shared" si="380"/>
        <v>0</v>
      </c>
      <c r="X617" s="116"/>
      <c r="Y617" s="117">
        <f t="shared" si="371"/>
        <v>300000</v>
      </c>
      <c r="Z617" s="12"/>
      <c r="AA617" s="12">
        <f t="shared" si="381"/>
        <v>300000</v>
      </c>
      <c r="AB617" s="12">
        <v>0.3</v>
      </c>
      <c r="AC617" s="12">
        <f t="shared" si="382"/>
        <v>900</v>
      </c>
      <c r="AD617" s="42"/>
      <c r="AE617" s="12"/>
    </row>
    <row r="618" spans="1:31" s="46" customFormat="1" ht="21">
      <c r="A618" s="42"/>
      <c r="B618" s="42"/>
      <c r="C618" s="45"/>
      <c r="D618" s="31"/>
      <c r="E618" s="31"/>
      <c r="F618" s="47"/>
      <c r="G618" s="42"/>
      <c r="H618" s="42"/>
      <c r="I618" s="44"/>
      <c r="J618" s="44">
        <f t="shared" si="377"/>
        <v>0</v>
      </c>
      <c r="K618" s="42"/>
      <c r="L618" s="42">
        <f t="shared" si="378"/>
        <v>0</v>
      </c>
      <c r="M618" s="42"/>
      <c r="N618" s="42"/>
      <c r="O618" s="101"/>
      <c r="P618" s="45"/>
      <c r="Q618" s="42"/>
      <c r="R618" s="42"/>
      <c r="S618" s="42"/>
      <c r="T618" s="12">
        <f t="shared" si="379"/>
        <v>0</v>
      </c>
      <c r="U618" s="45"/>
      <c r="V618" s="12">
        <f t="shared" si="383"/>
        <v>0</v>
      </c>
      <c r="W618" s="12">
        <f t="shared" si="380"/>
        <v>0</v>
      </c>
      <c r="X618" s="12"/>
      <c r="Y618" s="12">
        <f t="shared" si="371"/>
        <v>0</v>
      </c>
      <c r="Z618" s="12"/>
      <c r="AA618" s="12">
        <f t="shared" si="381"/>
        <v>0</v>
      </c>
      <c r="AB618" s="12"/>
      <c r="AC618" s="12">
        <f t="shared" si="382"/>
        <v>0</v>
      </c>
      <c r="AD618" s="42"/>
      <c r="AE618" s="12"/>
    </row>
    <row r="619" spans="1:31" s="46" customFormat="1" ht="21">
      <c r="A619" s="42"/>
      <c r="B619" s="42"/>
      <c r="C619" s="45"/>
      <c r="D619" s="31"/>
      <c r="E619" s="31"/>
      <c r="F619" s="47"/>
      <c r="G619" s="42"/>
      <c r="H619" s="42"/>
      <c r="I619" s="44"/>
      <c r="J619" s="44">
        <f t="shared" si="377"/>
        <v>0</v>
      </c>
      <c r="K619" s="42"/>
      <c r="L619" s="42">
        <f t="shared" si="378"/>
        <v>0</v>
      </c>
      <c r="M619" s="42"/>
      <c r="N619" s="42"/>
      <c r="O619" s="101"/>
      <c r="P619" s="45"/>
      <c r="Q619" s="42"/>
      <c r="R619" s="42"/>
      <c r="S619" s="42"/>
      <c r="T619" s="12">
        <f t="shared" si="379"/>
        <v>0</v>
      </c>
      <c r="U619" s="45"/>
      <c r="V619" s="12">
        <f t="shared" si="383"/>
        <v>0</v>
      </c>
      <c r="W619" s="12">
        <f t="shared" si="380"/>
        <v>0</v>
      </c>
      <c r="X619" s="12"/>
      <c r="Y619" s="12">
        <f t="shared" si="371"/>
        <v>0</v>
      </c>
      <c r="Z619" s="12"/>
      <c r="AA619" s="12">
        <f t="shared" si="381"/>
        <v>0</v>
      </c>
      <c r="AB619" s="12"/>
      <c r="AC619" s="12">
        <f t="shared" si="382"/>
        <v>0</v>
      </c>
      <c r="AD619" s="42"/>
      <c r="AE619" s="12"/>
    </row>
    <row r="620" spans="1:31" s="46" customFormat="1" ht="21">
      <c r="A620" s="42" t="s">
        <v>0</v>
      </c>
      <c r="B620" s="42" t="s">
        <v>1</v>
      </c>
      <c r="C620" s="45" t="s">
        <v>1568</v>
      </c>
      <c r="D620" s="45" t="s">
        <v>462</v>
      </c>
      <c r="E620" s="10" t="s">
        <v>909</v>
      </c>
      <c r="F620" s="47" t="s">
        <v>140</v>
      </c>
      <c r="G620" s="42"/>
      <c r="H620" s="42"/>
      <c r="I620" s="44">
        <v>52.6</v>
      </c>
      <c r="J620" s="44">
        <f aca="true" t="shared" si="384" ref="J620:J651">+I620+(H620*100)+(G620*400)</f>
        <v>52.6</v>
      </c>
      <c r="K620" s="42">
        <v>6000</v>
      </c>
      <c r="L620" s="42">
        <f t="shared" si="378"/>
        <v>315600</v>
      </c>
      <c r="M620" s="42"/>
      <c r="N620" s="42"/>
      <c r="O620" s="101"/>
      <c r="P620" s="45"/>
      <c r="Q620" s="42"/>
      <c r="R620" s="100"/>
      <c r="S620" s="42"/>
      <c r="T620" s="12">
        <f aca="true" t="shared" si="385" ref="T620:T651">+Q620*S620</f>
        <v>0</v>
      </c>
      <c r="U620" s="45"/>
      <c r="V620" s="12">
        <f t="shared" si="383"/>
        <v>0</v>
      </c>
      <c r="W620" s="12">
        <f aca="true" t="shared" si="386" ref="W620:W651">+T620-V620</f>
        <v>0</v>
      </c>
      <c r="X620" s="116"/>
      <c r="Y620" s="117">
        <f aca="true" t="shared" si="387" ref="Y620:Y651">+L620+W620</f>
        <v>315600</v>
      </c>
      <c r="Z620" s="12"/>
      <c r="AA620" s="12">
        <f aca="true" t="shared" si="388" ref="AA620:AA651">+Y620-Z620</f>
        <v>315600</v>
      </c>
      <c r="AB620" s="12">
        <v>0.3</v>
      </c>
      <c r="AC620" s="12">
        <f aca="true" t="shared" si="389" ref="AC620:AC651">+AA620*AB620/100</f>
        <v>946.8</v>
      </c>
      <c r="AD620" s="42"/>
      <c r="AE620" s="12"/>
    </row>
    <row r="621" spans="1:31" s="46" customFormat="1" ht="21">
      <c r="A621" s="42" t="s">
        <v>0</v>
      </c>
      <c r="B621" s="42" t="s">
        <v>1</v>
      </c>
      <c r="C621" s="45" t="s">
        <v>1569</v>
      </c>
      <c r="D621" s="45" t="s">
        <v>463</v>
      </c>
      <c r="E621" s="10" t="s">
        <v>909</v>
      </c>
      <c r="F621" s="47" t="s">
        <v>140</v>
      </c>
      <c r="G621" s="42"/>
      <c r="H621" s="42">
        <v>3</v>
      </c>
      <c r="I621" s="44">
        <v>82.5</v>
      </c>
      <c r="J621" s="44">
        <f t="shared" si="384"/>
        <v>382.5</v>
      </c>
      <c r="K621" s="42">
        <v>1500</v>
      </c>
      <c r="L621" s="42">
        <f t="shared" si="378"/>
        <v>573750</v>
      </c>
      <c r="M621" s="42"/>
      <c r="N621" s="42"/>
      <c r="O621" s="101"/>
      <c r="P621" s="45"/>
      <c r="Q621" s="42"/>
      <c r="R621" s="100"/>
      <c r="S621" s="42"/>
      <c r="T621" s="12">
        <f t="shared" si="385"/>
        <v>0</v>
      </c>
      <c r="U621" s="45"/>
      <c r="V621" s="12">
        <f t="shared" si="383"/>
        <v>0</v>
      </c>
      <c r="W621" s="12">
        <f t="shared" si="386"/>
        <v>0</v>
      </c>
      <c r="X621" s="116"/>
      <c r="Y621" s="117">
        <f t="shared" si="387"/>
        <v>573750</v>
      </c>
      <c r="Z621" s="12"/>
      <c r="AA621" s="12">
        <f t="shared" si="388"/>
        <v>573750</v>
      </c>
      <c r="AB621" s="12">
        <v>0.3</v>
      </c>
      <c r="AC621" s="12">
        <f t="shared" si="389"/>
        <v>1721.25</v>
      </c>
      <c r="AD621" s="42"/>
      <c r="AE621" s="12"/>
    </row>
    <row r="622" spans="1:31" s="46" customFormat="1" ht="21">
      <c r="A622" s="42" t="s">
        <v>0</v>
      </c>
      <c r="B622" s="42" t="s">
        <v>1</v>
      </c>
      <c r="C622" s="45" t="s">
        <v>1570</v>
      </c>
      <c r="D622" s="45" t="s">
        <v>464</v>
      </c>
      <c r="E622" s="10" t="s">
        <v>909</v>
      </c>
      <c r="F622" s="47" t="s">
        <v>140</v>
      </c>
      <c r="G622" s="42"/>
      <c r="H622" s="42"/>
      <c r="I622" s="44">
        <v>65.5</v>
      </c>
      <c r="J622" s="44">
        <f t="shared" si="384"/>
        <v>65.5</v>
      </c>
      <c r="K622" s="42">
        <v>1500</v>
      </c>
      <c r="L622" s="42">
        <f t="shared" si="378"/>
        <v>98250</v>
      </c>
      <c r="M622" s="42"/>
      <c r="N622" s="42"/>
      <c r="O622" s="101"/>
      <c r="P622" s="45"/>
      <c r="Q622" s="42"/>
      <c r="R622" s="100"/>
      <c r="S622" s="42"/>
      <c r="T622" s="12">
        <f t="shared" si="385"/>
        <v>0</v>
      </c>
      <c r="U622" s="45"/>
      <c r="V622" s="12">
        <f t="shared" si="383"/>
        <v>0</v>
      </c>
      <c r="W622" s="12">
        <f t="shared" si="386"/>
        <v>0</v>
      </c>
      <c r="X622" s="116"/>
      <c r="Y622" s="117">
        <f t="shared" si="387"/>
        <v>98250</v>
      </c>
      <c r="Z622" s="12"/>
      <c r="AA622" s="12">
        <f t="shared" si="388"/>
        <v>98250</v>
      </c>
      <c r="AB622" s="12">
        <v>0.3</v>
      </c>
      <c r="AC622" s="12">
        <f t="shared" si="389"/>
        <v>294.75</v>
      </c>
      <c r="AD622" s="42"/>
      <c r="AE622" s="12"/>
    </row>
    <row r="623" spans="1:31" s="46" customFormat="1" ht="21">
      <c r="A623" s="42" t="s">
        <v>0</v>
      </c>
      <c r="B623" s="42" t="s">
        <v>1</v>
      </c>
      <c r="C623" s="45" t="s">
        <v>1571</v>
      </c>
      <c r="D623" s="45" t="s">
        <v>465</v>
      </c>
      <c r="E623" s="10" t="s">
        <v>909</v>
      </c>
      <c r="F623" s="47" t="s">
        <v>140</v>
      </c>
      <c r="G623" s="42"/>
      <c r="H623" s="42"/>
      <c r="I623" s="44">
        <v>7.3</v>
      </c>
      <c r="J623" s="44">
        <f t="shared" si="384"/>
        <v>7.3</v>
      </c>
      <c r="K623" s="42">
        <v>1500</v>
      </c>
      <c r="L623" s="42">
        <f t="shared" si="378"/>
        <v>10950</v>
      </c>
      <c r="M623" s="42"/>
      <c r="N623" s="42"/>
      <c r="O623" s="101"/>
      <c r="P623" s="45"/>
      <c r="Q623" s="42"/>
      <c r="R623" s="100"/>
      <c r="S623" s="42"/>
      <c r="T623" s="12">
        <f t="shared" si="385"/>
        <v>0</v>
      </c>
      <c r="U623" s="45"/>
      <c r="V623" s="12">
        <f t="shared" si="383"/>
        <v>0</v>
      </c>
      <c r="W623" s="12">
        <f t="shared" si="386"/>
        <v>0</v>
      </c>
      <c r="X623" s="116"/>
      <c r="Y623" s="117">
        <f t="shared" si="387"/>
        <v>10950</v>
      </c>
      <c r="Z623" s="12"/>
      <c r="AA623" s="12">
        <f t="shared" si="388"/>
        <v>10950</v>
      </c>
      <c r="AB623" s="12">
        <v>0.3</v>
      </c>
      <c r="AC623" s="12">
        <f t="shared" si="389"/>
        <v>32.85</v>
      </c>
      <c r="AD623" s="42"/>
      <c r="AE623" s="12"/>
    </row>
    <row r="624" spans="1:31" s="46" customFormat="1" ht="21">
      <c r="A624" s="42" t="s">
        <v>0</v>
      </c>
      <c r="B624" s="42" t="s">
        <v>1</v>
      </c>
      <c r="C624" s="45" t="s">
        <v>1572</v>
      </c>
      <c r="D624" s="45" t="s">
        <v>466</v>
      </c>
      <c r="E624" s="10" t="s">
        <v>909</v>
      </c>
      <c r="F624" s="47" t="s">
        <v>137</v>
      </c>
      <c r="G624" s="42"/>
      <c r="H624" s="42"/>
      <c r="I624" s="44">
        <v>52.5</v>
      </c>
      <c r="J624" s="44">
        <f t="shared" si="384"/>
        <v>52.5</v>
      </c>
      <c r="K624" s="42">
        <v>1500</v>
      </c>
      <c r="L624" s="42">
        <f t="shared" si="378"/>
        <v>78750</v>
      </c>
      <c r="M624" s="42"/>
      <c r="N624" s="42" t="s">
        <v>64</v>
      </c>
      <c r="O624" s="101" t="s">
        <v>446</v>
      </c>
      <c r="P624" s="45">
        <v>2</v>
      </c>
      <c r="Q624" s="100">
        <v>149.5</v>
      </c>
      <c r="R624" s="100"/>
      <c r="S624" s="42">
        <v>6550</v>
      </c>
      <c r="T624" s="12">
        <f t="shared" si="385"/>
        <v>979225</v>
      </c>
      <c r="U624" s="102" t="s">
        <v>90</v>
      </c>
      <c r="V624" s="12">
        <f>+T624*0.38</f>
        <v>372105.5</v>
      </c>
      <c r="W624" s="12">
        <f t="shared" si="386"/>
        <v>607119.5</v>
      </c>
      <c r="X624" s="116"/>
      <c r="Y624" s="117">
        <f t="shared" si="387"/>
        <v>685869.5</v>
      </c>
      <c r="Z624" s="12"/>
      <c r="AA624" s="12">
        <f t="shared" si="388"/>
        <v>685869.5</v>
      </c>
      <c r="AB624" s="12">
        <v>0.02</v>
      </c>
      <c r="AC624" s="12">
        <f t="shared" si="389"/>
        <v>137.1739</v>
      </c>
      <c r="AD624" s="42"/>
      <c r="AE624" s="12"/>
    </row>
    <row r="625" spans="1:31" s="46" customFormat="1" ht="21">
      <c r="A625" s="42" t="s">
        <v>0</v>
      </c>
      <c r="B625" s="42" t="s">
        <v>1</v>
      </c>
      <c r="C625" s="45" t="s">
        <v>1573</v>
      </c>
      <c r="D625" s="45" t="s">
        <v>467</v>
      </c>
      <c r="E625" s="10" t="s">
        <v>909</v>
      </c>
      <c r="F625" s="47" t="s">
        <v>137</v>
      </c>
      <c r="G625" s="42"/>
      <c r="H625" s="42"/>
      <c r="I625" s="44">
        <v>29.1</v>
      </c>
      <c r="J625" s="44">
        <f t="shared" si="384"/>
        <v>29.1</v>
      </c>
      <c r="K625" s="42">
        <v>12000</v>
      </c>
      <c r="L625" s="42">
        <f t="shared" si="378"/>
        <v>349200</v>
      </c>
      <c r="M625" s="42"/>
      <c r="N625" s="42" t="s">
        <v>62</v>
      </c>
      <c r="O625" s="101" t="s">
        <v>446</v>
      </c>
      <c r="P625" s="45">
        <v>2</v>
      </c>
      <c r="Q625" s="100">
        <v>156</v>
      </c>
      <c r="R625" s="100"/>
      <c r="S625" s="42">
        <v>6750</v>
      </c>
      <c r="T625" s="12">
        <f t="shared" si="385"/>
        <v>1053000</v>
      </c>
      <c r="U625" s="102" t="s">
        <v>90</v>
      </c>
      <c r="V625" s="12">
        <f>+T625*0.38</f>
        <v>400140</v>
      </c>
      <c r="W625" s="12">
        <f t="shared" si="386"/>
        <v>652860</v>
      </c>
      <c r="X625" s="116"/>
      <c r="Y625" s="117">
        <f t="shared" si="387"/>
        <v>1002060</v>
      </c>
      <c r="Z625" s="12"/>
      <c r="AA625" s="12">
        <f t="shared" si="388"/>
        <v>1002060</v>
      </c>
      <c r="AB625" s="12">
        <v>0.02</v>
      </c>
      <c r="AC625" s="12">
        <f t="shared" si="389"/>
        <v>200.412</v>
      </c>
      <c r="AD625" s="42"/>
      <c r="AE625" s="12"/>
    </row>
    <row r="626" spans="1:31" s="46" customFormat="1" ht="21">
      <c r="A626" s="42" t="s">
        <v>0</v>
      </c>
      <c r="B626" s="42" t="s">
        <v>1</v>
      </c>
      <c r="C626" s="45" t="s">
        <v>1574</v>
      </c>
      <c r="D626" s="45" t="s">
        <v>468</v>
      </c>
      <c r="E626" s="10" t="s">
        <v>909</v>
      </c>
      <c r="F626" s="47" t="s">
        <v>137</v>
      </c>
      <c r="G626" s="42"/>
      <c r="H626" s="42"/>
      <c r="I626" s="44">
        <v>25.9</v>
      </c>
      <c r="J626" s="44">
        <f t="shared" si="384"/>
        <v>25.9</v>
      </c>
      <c r="K626" s="42">
        <v>12000</v>
      </c>
      <c r="L626" s="42">
        <f t="shared" si="378"/>
        <v>310800</v>
      </c>
      <c r="M626" s="42"/>
      <c r="N626" s="42" t="s">
        <v>62</v>
      </c>
      <c r="O626" s="101" t="s">
        <v>446</v>
      </c>
      <c r="P626" s="45">
        <v>2</v>
      </c>
      <c r="Q626" s="100">
        <v>156</v>
      </c>
      <c r="R626" s="100"/>
      <c r="S626" s="42">
        <v>6750</v>
      </c>
      <c r="T626" s="12">
        <f t="shared" si="385"/>
        <v>1053000</v>
      </c>
      <c r="U626" s="102" t="s">
        <v>90</v>
      </c>
      <c r="V626" s="12">
        <f>+T626*0.38</f>
        <v>400140</v>
      </c>
      <c r="W626" s="12">
        <f t="shared" si="386"/>
        <v>652860</v>
      </c>
      <c r="X626" s="116"/>
      <c r="Y626" s="117">
        <f t="shared" si="387"/>
        <v>963660</v>
      </c>
      <c r="Z626" s="12"/>
      <c r="AA626" s="12">
        <f t="shared" si="388"/>
        <v>963660</v>
      </c>
      <c r="AB626" s="12">
        <v>0.02</v>
      </c>
      <c r="AC626" s="12">
        <f t="shared" si="389"/>
        <v>192.732</v>
      </c>
      <c r="AD626" s="42"/>
      <c r="AE626" s="12"/>
    </row>
    <row r="627" spans="1:31" s="46" customFormat="1" ht="21">
      <c r="A627" s="42" t="s">
        <v>0</v>
      </c>
      <c r="B627" s="42" t="s">
        <v>1</v>
      </c>
      <c r="C627" s="45" t="s">
        <v>1575</v>
      </c>
      <c r="D627" s="45" t="s">
        <v>469</v>
      </c>
      <c r="E627" s="10" t="s">
        <v>909</v>
      </c>
      <c r="F627" s="47"/>
      <c r="G627" s="42"/>
      <c r="H627" s="42">
        <v>1</v>
      </c>
      <c r="I627" s="44">
        <v>23.1</v>
      </c>
      <c r="J627" s="44">
        <f t="shared" si="384"/>
        <v>123.1</v>
      </c>
      <c r="K627" s="42">
        <v>6000</v>
      </c>
      <c r="L627" s="42">
        <f t="shared" si="378"/>
        <v>738600</v>
      </c>
      <c r="M627" s="42"/>
      <c r="N627" s="42" t="s">
        <v>475</v>
      </c>
      <c r="O627" s="101"/>
      <c r="P627" s="45"/>
      <c r="Q627" s="42"/>
      <c r="R627" s="100"/>
      <c r="S627" s="42"/>
      <c r="T627" s="12">
        <f t="shared" si="385"/>
        <v>0</v>
      </c>
      <c r="U627" s="45"/>
      <c r="V627" s="12">
        <f>+T627*0</f>
        <v>0</v>
      </c>
      <c r="W627" s="12">
        <f t="shared" si="386"/>
        <v>0</v>
      </c>
      <c r="X627" s="116"/>
      <c r="Y627" s="117">
        <f t="shared" si="387"/>
        <v>738600</v>
      </c>
      <c r="Z627" s="12">
        <f>+Y627</f>
        <v>738600</v>
      </c>
      <c r="AA627" s="12">
        <f t="shared" si="388"/>
        <v>0</v>
      </c>
      <c r="AB627" s="12"/>
      <c r="AC627" s="12">
        <f t="shared" si="389"/>
        <v>0</v>
      </c>
      <c r="AD627" s="42"/>
      <c r="AE627" s="12"/>
    </row>
    <row r="628" spans="1:31" s="46" customFormat="1" ht="21">
      <c r="A628" s="42" t="s">
        <v>0</v>
      </c>
      <c r="B628" s="42" t="s">
        <v>152</v>
      </c>
      <c r="C628" s="45" t="s">
        <v>1576</v>
      </c>
      <c r="D628" s="51" t="s">
        <v>470</v>
      </c>
      <c r="E628" s="10" t="s">
        <v>909</v>
      </c>
      <c r="F628" s="47" t="s">
        <v>140</v>
      </c>
      <c r="G628" s="42"/>
      <c r="H628" s="42">
        <v>1</v>
      </c>
      <c r="I628" s="44">
        <v>74</v>
      </c>
      <c r="J628" s="44">
        <f t="shared" si="384"/>
        <v>174</v>
      </c>
      <c r="K628" s="42">
        <v>200</v>
      </c>
      <c r="L628" s="42">
        <f aca="true" t="shared" si="390" ref="L628:L642">+K628*J628</f>
        <v>34800</v>
      </c>
      <c r="M628" s="42"/>
      <c r="N628" s="42"/>
      <c r="O628" s="101"/>
      <c r="P628" s="45"/>
      <c r="Q628" s="42"/>
      <c r="R628" s="100"/>
      <c r="S628" s="42"/>
      <c r="T628" s="12">
        <f t="shared" si="385"/>
        <v>0</v>
      </c>
      <c r="U628" s="45"/>
      <c r="V628" s="12">
        <f>+T628*0</f>
        <v>0</v>
      </c>
      <c r="W628" s="12">
        <f t="shared" si="386"/>
        <v>0</v>
      </c>
      <c r="X628" s="116"/>
      <c r="Y628" s="117">
        <f t="shared" si="387"/>
        <v>34800</v>
      </c>
      <c r="Z628" s="12"/>
      <c r="AA628" s="12">
        <f t="shared" si="388"/>
        <v>34800</v>
      </c>
      <c r="AB628" s="12">
        <v>0.3</v>
      </c>
      <c r="AC628" s="12">
        <f t="shared" si="389"/>
        <v>104.4</v>
      </c>
      <c r="AD628" s="42"/>
      <c r="AE628" s="12"/>
    </row>
    <row r="629" spans="1:31" s="46" customFormat="1" ht="21">
      <c r="A629" s="42" t="s">
        <v>0</v>
      </c>
      <c r="B629" s="42" t="s">
        <v>1</v>
      </c>
      <c r="C629" s="45" t="s">
        <v>1577</v>
      </c>
      <c r="D629" s="51" t="s">
        <v>471</v>
      </c>
      <c r="E629" s="10" t="s">
        <v>909</v>
      </c>
      <c r="F629" s="47" t="s">
        <v>140</v>
      </c>
      <c r="G629" s="42"/>
      <c r="H629" s="42"/>
      <c r="I629" s="44">
        <v>14.4</v>
      </c>
      <c r="J629" s="44">
        <f t="shared" si="384"/>
        <v>14.4</v>
      </c>
      <c r="K629" s="42">
        <v>1500</v>
      </c>
      <c r="L629" s="42">
        <f t="shared" si="390"/>
        <v>21600</v>
      </c>
      <c r="M629" s="42"/>
      <c r="N629" s="42"/>
      <c r="O629" s="101"/>
      <c r="P629" s="45"/>
      <c r="Q629" s="42"/>
      <c r="R629" s="100"/>
      <c r="S629" s="42"/>
      <c r="T629" s="12">
        <f t="shared" si="385"/>
        <v>0</v>
      </c>
      <c r="U629" s="45"/>
      <c r="V629" s="12">
        <f>+T629*0</f>
        <v>0</v>
      </c>
      <c r="W629" s="12">
        <f t="shared" si="386"/>
        <v>0</v>
      </c>
      <c r="X629" s="116"/>
      <c r="Y629" s="117">
        <f t="shared" si="387"/>
        <v>21600</v>
      </c>
      <c r="Z629" s="12"/>
      <c r="AA629" s="12">
        <f t="shared" si="388"/>
        <v>21600</v>
      </c>
      <c r="AB629" s="12">
        <v>0.3</v>
      </c>
      <c r="AC629" s="12">
        <f t="shared" si="389"/>
        <v>64.8</v>
      </c>
      <c r="AD629" s="42"/>
      <c r="AE629" s="12"/>
    </row>
    <row r="630" spans="1:31" s="46" customFormat="1" ht="21">
      <c r="A630" s="42" t="s">
        <v>0</v>
      </c>
      <c r="B630" s="42" t="s">
        <v>1</v>
      </c>
      <c r="C630" s="45" t="s">
        <v>1578</v>
      </c>
      <c r="D630" s="51" t="s">
        <v>472</v>
      </c>
      <c r="E630" s="10" t="s">
        <v>909</v>
      </c>
      <c r="F630" s="47" t="s">
        <v>140</v>
      </c>
      <c r="G630" s="42"/>
      <c r="H630" s="42">
        <v>1</v>
      </c>
      <c r="I630" s="44">
        <v>77.5</v>
      </c>
      <c r="J630" s="44">
        <f t="shared" si="384"/>
        <v>177.5</v>
      </c>
      <c r="K630" s="42">
        <v>12000</v>
      </c>
      <c r="L630" s="42">
        <f t="shared" si="390"/>
        <v>2130000</v>
      </c>
      <c r="M630" s="42"/>
      <c r="N630" s="42"/>
      <c r="O630" s="101"/>
      <c r="P630" s="45"/>
      <c r="Q630" s="42"/>
      <c r="R630" s="100"/>
      <c r="S630" s="42"/>
      <c r="T630" s="12">
        <f t="shared" si="385"/>
        <v>0</v>
      </c>
      <c r="U630" s="45"/>
      <c r="V630" s="12">
        <f>+T630*0</f>
        <v>0</v>
      </c>
      <c r="W630" s="12">
        <f t="shared" si="386"/>
        <v>0</v>
      </c>
      <c r="X630" s="116"/>
      <c r="Y630" s="117">
        <f t="shared" si="387"/>
        <v>2130000</v>
      </c>
      <c r="Z630" s="12"/>
      <c r="AA630" s="12">
        <f t="shared" si="388"/>
        <v>2130000</v>
      </c>
      <c r="AB630" s="12">
        <v>0.3</v>
      </c>
      <c r="AC630" s="12">
        <f t="shared" si="389"/>
        <v>6390</v>
      </c>
      <c r="AD630" s="42"/>
      <c r="AE630" s="12"/>
    </row>
    <row r="631" spans="1:31" s="46" customFormat="1" ht="21">
      <c r="A631" s="42" t="s">
        <v>0</v>
      </c>
      <c r="B631" s="42" t="s">
        <v>1</v>
      </c>
      <c r="C631" s="45" t="s">
        <v>1579</v>
      </c>
      <c r="D631" s="45" t="s">
        <v>473</v>
      </c>
      <c r="E631" s="10" t="s">
        <v>909</v>
      </c>
      <c r="F631" s="47" t="s">
        <v>140</v>
      </c>
      <c r="G631" s="42"/>
      <c r="H631" s="42">
        <v>3</v>
      </c>
      <c r="I631" s="44">
        <v>70.5</v>
      </c>
      <c r="J631" s="44">
        <f t="shared" si="384"/>
        <v>370.5</v>
      </c>
      <c r="K631" s="42">
        <v>12000</v>
      </c>
      <c r="L631" s="42">
        <f t="shared" si="390"/>
        <v>4446000</v>
      </c>
      <c r="M631" s="42"/>
      <c r="N631" s="42"/>
      <c r="O631" s="101"/>
      <c r="P631" s="45"/>
      <c r="Q631" s="42"/>
      <c r="R631" s="100"/>
      <c r="S631" s="42"/>
      <c r="T631" s="12">
        <f t="shared" si="385"/>
        <v>0</v>
      </c>
      <c r="U631" s="45"/>
      <c r="V631" s="12">
        <f>+T631*0</f>
        <v>0</v>
      </c>
      <c r="W631" s="12">
        <f t="shared" si="386"/>
        <v>0</v>
      </c>
      <c r="X631" s="116"/>
      <c r="Y631" s="117">
        <f t="shared" si="387"/>
        <v>4446000</v>
      </c>
      <c r="Z631" s="12"/>
      <c r="AA631" s="12">
        <f t="shared" si="388"/>
        <v>4446000</v>
      </c>
      <c r="AB631" s="12">
        <v>0.3</v>
      </c>
      <c r="AC631" s="12">
        <f t="shared" si="389"/>
        <v>13338</v>
      </c>
      <c r="AD631" s="42"/>
      <c r="AE631" s="12"/>
    </row>
    <row r="632" spans="1:31" s="46" customFormat="1" ht="21">
      <c r="A632" s="42" t="s">
        <v>0</v>
      </c>
      <c r="B632" s="42" t="s">
        <v>1</v>
      </c>
      <c r="C632" s="45" t="s">
        <v>1580</v>
      </c>
      <c r="D632" s="51" t="s">
        <v>474</v>
      </c>
      <c r="E632" s="10" t="s">
        <v>909</v>
      </c>
      <c r="F632" s="47" t="s">
        <v>137</v>
      </c>
      <c r="G632" s="42">
        <v>1</v>
      </c>
      <c r="H632" s="42">
        <v>3</v>
      </c>
      <c r="I632" s="44">
        <v>32.4</v>
      </c>
      <c r="J632" s="44">
        <f t="shared" si="384"/>
        <v>732.4</v>
      </c>
      <c r="K632" s="42">
        <v>6000</v>
      </c>
      <c r="L632" s="42">
        <f>+K632*J632</f>
        <v>4394400</v>
      </c>
      <c r="M632" s="42"/>
      <c r="N632" s="42" t="s">
        <v>64</v>
      </c>
      <c r="O632" s="101" t="s">
        <v>447</v>
      </c>
      <c r="P632" s="45">
        <v>2</v>
      </c>
      <c r="Q632" s="100">
        <v>162</v>
      </c>
      <c r="R632" s="100"/>
      <c r="S632" s="42">
        <v>6550</v>
      </c>
      <c r="T632" s="12">
        <f t="shared" si="385"/>
        <v>1061100</v>
      </c>
      <c r="U632" s="45" t="s">
        <v>476</v>
      </c>
      <c r="V632" s="12">
        <f>+T632*0.6</f>
        <v>636660</v>
      </c>
      <c r="W632" s="12">
        <f t="shared" si="386"/>
        <v>424440</v>
      </c>
      <c r="X632" s="116"/>
      <c r="Y632" s="117">
        <f t="shared" si="387"/>
        <v>4818840</v>
      </c>
      <c r="Z632" s="12"/>
      <c r="AA632" s="12">
        <f t="shared" si="388"/>
        <v>4818840</v>
      </c>
      <c r="AB632" s="12">
        <v>0.02</v>
      </c>
      <c r="AC632" s="12">
        <f t="shared" si="389"/>
        <v>963.768</v>
      </c>
      <c r="AD632" s="42"/>
      <c r="AE632" s="12"/>
    </row>
    <row r="633" spans="1:31" s="46" customFormat="1" ht="21">
      <c r="A633" s="42" t="s">
        <v>0</v>
      </c>
      <c r="B633" s="42" t="s">
        <v>1</v>
      </c>
      <c r="C633" s="45" t="s">
        <v>282</v>
      </c>
      <c r="D633" s="45" t="s">
        <v>477</v>
      </c>
      <c r="E633" s="10" t="s">
        <v>909</v>
      </c>
      <c r="F633" s="47" t="s">
        <v>140</v>
      </c>
      <c r="G633" s="42"/>
      <c r="H633" s="42"/>
      <c r="I633" s="44">
        <v>64.8</v>
      </c>
      <c r="J633" s="44">
        <f t="shared" si="384"/>
        <v>64.8</v>
      </c>
      <c r="K633" s="42">
        <v>4000</v>
      </c>
      <c r="L633" s="42">
        <f>+K633*J633</f>
        <v>259200</v>
      </c>
      <c r="M633" s="42"/>
      <c r="N633" s="42"/>
      <c r="O633" s="101"/>
      <c r="P633" s="45"/>
      <c r="Q633" s="42"/>
      <c r="R633" s="100"/>
      <c r="S633" s="42"/>
      <c r="T633" s="12">
        <f t="shared" si="385"/>
        <v>0</v>
      </c>
      <c r="U633" s="45"/>
      <c r="V633" s="12">
        <f aca="true" t="shared" si="391" ref="V633:V641">+T633*0</f>
        <v>0</v>
      </c>
      <c r="W633" s="12">
        <f t="shared" si="386"/>
        <v>0</v>
      </c>
      <c r="X633" s="116"/>
      <c r="Y633" s="117">
        <f t="shared" si="387"/>
        <v>259200</v>
      </c>
      <c r="Z633" s="12"/>
      <c r="AA633" s="12">
        <f t="shared" si="388"/>
        <v>259200</v>
      </c>
      <c r="AB633" s="12">
        <v>0.3</v>
      </c>
      <c r="AC633" s="12">
        <f t="shared" si="389"/>
        <v>777.6</v>
      </c>
      <c r="AD633" s="42"/>
      <c r="AE633" s="12"/>
    </row>
    <row r="634" spans="1:31" s="46" customFormat="1" ht="21">
      <c r="A634" s="42" t="s">
        <v>0</v>
      </c>
      <c r="B634" s="42" t="s">
        <v>1</v>
      </c>
      <c r="C634" s="45" t="s">
        <v>1581</v>
      </c>
      <c r="D634" s="45" t="s">
        <v>478</v>
      </c>
      <c r="E634" s="10" t="s">
        <v>909</v>
      </c>
      <c r="F634" s="47" t="s">
        <v>140</v>
      </c>
      <c r="G634" s="42"/>
      <c r="H634" s="42">
        <v>2</v>
      </c>
      <c r="I634" s="44">
        <v>91.7</v>
      </c>
      <c r="J634" s="44">
        <f t="shared" si="384"/>
        <v>291.7</v>
      </c>
      <c r="K634" s="42">
        <v>6000</v>
      </c>
      <c r="L634" s="42">
        <f>+K634*J634</f>
        <v>1750200</v>
      </c>
      <c r="M634" s="42"/>
      <c r="N634" s="42"/>
      <c r="O634" s="101"/>
      <c r="P634" s="45"/>
      <c r="Q634" s="42"/>
      <c r="R634" s="100"/>
      <c r="S634" s="42"/>
      <c r="T634" s="12">
        <f t="shared" si="385"/>
        <v>0</v>
      </c>
      <c r="U634" s="45"/>
      <c r="V634" s="12">
        <f t="shared" si="391"/>
        <v>0</v>
      </c>
      <c r="W634" s="12">
        <f t="shared" si="386"/>
        <v>0</v>
      </c>
      <c r="X634" s="116"/>
      <c r="Y634" s="117">
        <f t="shared" si="387"/>
        <v>1750200</v>
      </c>
      <c r="Z634" s="12"/>
      <c r="AA634" s="12">
        <f t="shared" si="388"/>
        <v>1750200</v>
      </c>
      <c r="AB634" s="12">
        <v>0.3</v>
      </c>
      <c r="AC634" s="12">
        <f t="shared" si="389"/>
        <v>5250.6</v>
      </c>
      <c r="AD634" s="42"/>
      <c r="AE634" s="12"/>
    </row>
    <row r="635" spans="1:31" s="46" customFormat="1" ht="21">
      <c r="A635" s="42" t="s">
        <v>0</v>
      </c>
      <c r="B635" s="42" t="s">
        <v>1</v>
      </c>
      <c r="C635" s="45" t="s">
        <v>1582</v>
      </c>
      <c r="D635" s="45" t="s">
        <v>479</v>
      </c>
      <c r="E635" s="10" t="s">
        <v>909</v>
      </c>
      <c r="F635" s="47" t="s">
        <v>140</v>
      </c>
      <c r="G635" s="42"/>
      <c r="H635" s="42"/>
      <c r="I635" s="44">
        <v>50</v>
      </c>
      <c r="J635" s="44">
        <f t="shared" si="384"/>
        <v>50</v>
      </c>
      <c r="K635" s="42">
        <v>8000</v>
      </c>
      <c r="L635" s="42">
        <f>+K635*J635</f>
        <v>400000</v>
      </c>
      <c r="M635" s="42"/>
      <c r="N635" s="42"/>
      <c r="O635" s="101"/>
      <c r="P635" s="45"/>
      <c r="Q635" s="42"/>
      <c r="R635" s="100"/>
      <c r="S635" s="42"/>
      <c r="T635" s="12">
        <f t="shared" si="385"/>
        <v>0</v>
      </c>
      <c r="U635" s="45"/>
      <c r="V635" s="12">
        <f t="shared" si="391"/>
        <v>0</v>
      </c>
      <c r="W635" s="12">
        <f t="shared" si="386"/>
        <v>0</v>
      </c>
      <c r="X635" s="116"/>
      <c r="Y635" s="117">
        <f t="shared" si="387"/>
        <v>400000</v>
      </c>
      <c r="Z635" s="12"/>
      <c r="AA635" s="12">
        <f t="shared" si="388"/>
        <v>400000</v>
      </c>
      <c r="AB635" s="12">
        <v>0.3</v>
      </c>
      <c r="AC635" s="12">
        <f t="shared" si="389"/>
        <v>1200</v>
      </c>
      <c r="AD635" s="42"/>
      <c r="AE635" s="12"/>
    </row>
    <row r="636" spans="1:31" s="46" customFormat="1" ht="21">
      <c r="A636" s="42" t="s">
        <v>0</v>
      </c>
      <c r="B636" s="42" t="s">
        <v>1</v>
      </c>
      <c r="C636" s="45" t="s">
        <v>1583</v>
      </c>
      <c r="D636" s="45" t="s">
        <v>480</v>
      </c>
      <c r="E636" s="10" t="s">
        <v>909</v>
      </c>
      <c r="F636" s="47" t="s">
        <v>140</v>
      </c>
      <c r="G636" s="42">
        <v>1</v>
      </c>
      <c r="H636" s="42">
        <v>1</v>
      </c>
      <c r="I636" s="44">
        <v>55.6</v>
      </c>
      <c r="J636" s="44">
        <f t="shared" si="384"/>
        <v>555.6</v>
      </c>
      <c r="K636" s="42">
        <v>15000</v>
      </c>
      <c r="L636" s="42">
        <f t="shared" si="390"/>
        <v>8334000</v>
      </c>
      <c r="M636" s="42"/>
      <c r="N636" s="42"/>
      <c r="O636" s="101"/>
      <c r="P636" s="45"/>
      <c r="Q636" s="42"/>
      <c r="R636" s="100"/>
      <c r="S636" s="42"/>
      <c r="T636" s="12">
        <f t="shared" si="385"/>
        <v>0</v>
      </c>
      <c r="U636" s="45"/>
      <c r="V636" s="12">
        <f t="shared" si="391"/>
        <v>0</v>
      </c>
      <c r="W636" s="12">
        <f t="shared" si="386"/>
        <v>0</v>
      </c>
      <c r="X636" s="116"/>
      <c r="Y636" s="117">
        <f t="shared" si="387"/>
        <v>8334000</v>
      </c>
      <c r="Z636" s="12"/>
      <c r="AA636" s="12">
        <f t="shared" si="388"/>
        <v>8334000</v>
      </c>
      <c r="AB636" s="12">
        <v>0.3</v>
      </c>
      <c r="AC636" s="12">
        <f t="shared" si="389"/>
        <v>25002</v>
      </c>
      <c r="AD636" s="42"/>
      <c r="AE636" s="12"/>
    </row>
    <row r="637" spans="1:31" s="46" customFormat="1" ht="21">
      <c r="A637" s="42" t="s">
        <v>0</v>
      </c>
      <c r="B637" s="42" t="s">
        <v>1</v>
      </c>
      <c r="C637" s="45" t="s">
        <v>1584</v>
      </c>
      <c r="D637" s="45" t="s">
        <v>481</v>
      </c>
      <c r="E637" s="10" t="s">
        <v>909</v>
      </c>
      <c r="F637" s="47" t="s">
        <v>140</v>
      </c>
      <c r="G637" s="42"/>
      <c r="H637" s="42"/>
      <c r="I637" s="44">
        <v>50.7</v>
      </c>
      <c r="J637" s="44">
        <f t="shared" si="384"/>
        <v>50.7</v>
      </c>
      <c r="K637" s="42">
        <v>15000</v>
      </c>
      <c r="L637" s="42">
        <f t="shared" si="390"/>
        <v>760500</v>
      </c>
      <c r="M637" s="42"/>
      <c r="N637" s="42"/>
      <c r="O637" s="101"/>
      <c r="P637" s="45"/>
      <c r="Q637" s="42"/>
      <c r="R637" s="100"/>
      <c r="S637" s="42"/>
      <c r="T637" s="12">
        <f t="shared" si="385"/>
        <v>0</v>
      </c>
      <c r="U637" s="45"/>
      <c r="V637" s="12">
        <f t="shared" si="391"/>
        <v>0</v>
      </c>
      <c r="W637" s="12">
        <f t="shared" si="386"/>
        <v>0</v>
      </c>
      <c r="X637" s="116"/>
      <c r="Y637" s="117">
        <f t="shared" si="387"/>
        <v>760500</v>
      </c>
      <c r="Z637" s="12"/>
      <c r="AA637" s="12">
        <f t="shared" si="388"/>
        <v>760500</v>
      </c>
      <c r="AB637" s="12">
        <v>0.3</v>
      </c>
      <c r="AC637" s="12">
        <f t="shared" si="389"/>
        <v>2281.5</v>
      </c>
      <c r="AD637" s="42"/>
      <c r="AE637" s="12"/>
    </row>
    <row r="638" spans="1:31" s="46" customFormat="1" ht="21">
      <c r="A638" s="42" t="s">
        <v>0</v>
      </c>
      <c r="B638" s="42" t="s">
        <v>1</v>
      </c>
      <c r="C638" s="45" t="s">
        <v>1585</v>
      </c>
      <c r="D638" s="45" t="s">
        <v>482</v>
      </c>
      <c r="E638" s="10" t="s">
        <v>909</v>
      </c>
      <c r="F638" s="47" t="s">
        <v>140</v>
      </c>
      <c r="G638" s="42"/>
      <c r="H638" s="42"/>
      <c r="I638" s="44">
        <v>54.8</v>
      </c>
      <c r="J638" s="44">
        <f t="shared" si="384"/>
        <v>54.8</v>
      </c>
      <c r="K638" s="42">
        <v>6000</v>
      </c>
      <c r="L638" s="42">
        <f t="shared" si="390"/>
        <v>328800</v>
      </c>
      <c r="M638" s="42"/>
      <c r="N638" s="42"/>
      <c r="O638" s="101"/>
      <c r="P638" s="45"/>
      <c r="Q638" s="42"/>
      <c r="R638" s="100"/>
      <c r="S638" s="42"/>
      <c r="T638" s="12">
        <f t="shared" si="385"/>
        <v>0</v>
      </c>
      <c r="U638" s="45"/>
      <c r="V638" s="12">
        <f t="shared" si="391"/>
        <v>0</v>
      </c>
      <c r="W638" s="12">
        <f t="shared" si="386"/>
        <v>0</v>
      </c>
      <c r="X638" s="116"/>
      <c r="Y638" s="117">
        <f t="shared" si="387"/>
        <v>328800</v>
      </c>
      <c r="Z638" s="12"/>
      <c r="AA638" s="12">
        <f t="shared" si="388"/>
        <v>328800</v>
      </c>
      <c r="AB638" s="12">
        <v>0.3</v>
      </c>
      <c r="AC638" s="12">
        <f t="shared" si="389"/>
        <v>986.4</v>
      </c>
      <c r="AD638" s="42"/>
      <c r="AE638" s="12"/>
    </row>
    <row r="639" spans="1:31" s="46" customFormat="1" ht="21">
      <c r="A639" s="42" t="s">
        <v>0</v>
      </c>
      <c r="B639" s="42" t="s">
        <v>1</v>
      </c>
      <c r="C639" s="45" t="s">
        <v>1586</v>
      </c>
      <c r="D639" s="51" t="s">
        <v>483</v>
      </c>
      <c r="E639" s="10" t="s">
        <v>909</v>
      </c>
      <c r="F639" s="47" t="s">
        <v>140</v>
      </c>
      <c r="G639" s="42"/>
      <c r="H639" s="42"/>
      <c r="I639" s="44">
        <v>46.9</v>
      </c>
      <c r="J639" s="44">
        <f t="shared" si="384"/>
        <v>46.9</v>
      </c>
      <c r="K639" s="42">
        <v>7800</v>
      </c>
      <c r="L639" s="42">
        <f t="shared" si="390"/>
        <v>365820</v>
      </c>
      <c r="M639" s="42"/>
      <c r="N639" s="42"/>
      <c r="O639" s="101"/>
      <c r="P639" s="45"/>
      <c r="Q639" s="42"/>
      <c r="R639" s="100"/>
      <c r="S639" s="42"/>
      <c r="T639" s="12">
        <f t="shared" si="385"/>
        <v>0</v>
      </c>
      <c r="U639" s="45"/>
      <c r="V639" s="12">
        <f t="shared" si="391"/>
        <v>0</v>
      </c>
      <c r="W639" s="12">
        <f t="shared" si="386"/>
        <v>0</v>
      </c>
      <c r="X639" s="116"/>
      <c r="Y639" s="117">
        <f t="shared" si="387"/>
        <v>365820</v>
      </c>
      <c r="Z639" s="12"/>
      <c r="AA639" s="12">
        <f t="shared" si="388"/>
        <v>365820</v>
      </c>
      <c r="AB639" s="12">
        <v>0.3</v>
      </c>
      <c r="AC639" s="12">
        <f t="shared" si="389"/>
        <v>1097.46</v>
      </c>
      <c r="AD639" s="42"/>
      <c r="AE639" s="12"/>
    </row>
    <row r="640" spans="1:31" s="46" customFormat="1" ht="21">
      <c r="A640" s="42" t="s">
        <v>0</v>
      </c>
      <c r="B640" s="42" t="s">
        <v>1</v>
      </c>
      <c r="C640" s="45" t="s">
        <v>1587</v>
      </c>
      <c r="D640" s="51" t="s">
        <v>484</v>
      </c>
      <c r="E640" s="10" t="s">
        <v>909</v>
      </c>
      <c r="F640" s="47" t="s">
        <v>140</v>
      </c>
      <c r="G640" s="42"/>
      <c r="H640" s="42"/>
      <c r="I640" s="44">
        <v>70.3</v>
      </c>
      <c r="J640" s="44">
        <f t="shared" si="384"/>
        <v>70.3</v>
      </c>
      <c r="K640" s="42">
        <v>12000</v>
      </c>
      <c r="L640" s="42">
        <f t="shared" si="390"/>
        <v>843600</v>
      </c>
      <c r="M640" s="42"/>
      <c r="N640" s="42"/>
      <c r="O640" s="101"/>
      <c r="P640" s="45"/>
      <c r="Q640" s="42"/>
      <c r="R640" s="100"/>
      <c r="S640" s="42"/>
      <c r="T640" s="12">
        <f t="shared" si="385"/>
        <v>0</v>
      </c>
      <c r="U640" s="45"/>
      <c r="V640" s="12">
        <f t="shared" si="391"/>
        <v>0</v>
      </c>
      <c r="W640" s="12">
        <f t="shared" si="386"/>
        <v>0</v>
      </c>
      <c r="X640" s="116"/>
      <c r="Y640" s="117">
        <f t="shared" si="387"/>
        <v>843600</v>
      </c>
      <c r="Z640" s="12"/>
      <c r="AA640" s="12">
        <f t="shared" si="388"/>
        <v>843600</v>
      </c>
      <c r="AB640" s="12">
        <v>0.3</v>
      </c>
      <c r="AC640" s="12">
        <f t="shared" si="389"/>
        <v>2530.8</v>
      </c>
      <c r="AD640" s="42"/>
      <c r="AE640" s="12"/>
    </row>
    <row r="641" spans="1:31" s="46" customFormat="1" ht="21">
      <c r="A641" s="42" t="s">
        <v>0</v>
      </c>
      <c r="B641" s="42" t="s">
        <v>1</v>
      </c>
      <c r="C641" s="45" t="s">
        <v>1588</v>
      </c>
      <c r="D641" s="51" t="s">
        <v>485</v>
      </c>
      <c r="E641" s="10" t="s">
        <v>909</v>
      </c>
      <c r="F641" s="47" t="s">
        <v>140</v>
      </c>
      <c r="G641" s="42"/>
      <c r="H641" s="42"/>
      <c r="I641" s="44">
        <v>43.1</v>
      </c>
      <c r="J641" s="44">
        <f t="shared" si="384"/>
        <v>43.1</v>
      </c>
      <c r="K641" s="42">
        <v>7800</v>
      </c>
      <c r="L641" s="42">
        <f t="shared" si="390"/>
        <v>336180</v>
      </c>
      <c r="M641" s="42"/>
      <c r="N641" s="42"/>
      <c r="O641" s="101"/>
      <c r="P641" s="45"/>
      <c r="Q641" s="42"/>
      <c r="R641" s="100"/>
      <c r="S641" s="42"/>
      <c r="T641" s="12">
        <f t="shared" si="385"/>
        <v>0</v>
      </c>
      <c r="U641" s="45"/>
      <c r="V641" s="12">
        <f t="shared" si="391"/>
        <v>0</v>
      </c>
      <c r="W641" s="12">
        <f t="shared" si="386"/>
        <v>0</v>
      </c>
      <c r="X641" s="116"/>
      <c r="Y641" s="117">
        <f t="shared" si="387"/>
        <v>336180</v>
      </c>
      <c r="Z641" s="12"/>
      <c r="AA641" s="12">
        <f t="shared" si="388"/>
        <v>336180</v>
      </c>
      <c r="AB641" s="12">
        <v>0.3</v>
      </c>
      <c r="AC641" s="12">
        <f t="shared" si="389"/>
        <v>1008.54</v>
      </c>
      <c r="AD641" s="42"/>
      <c r="AE641" s="12"/>
    </row>
    <row r="642" spans="1:31" s="46" customFormat="1" ht="21">
      <c r="A642" s="42" t="s">
        <v>0</v>
      </c>
      <c r="B642" s="42" t="s">
        <v>1</v>
      </c>
      <c r="C642" s="45" t="s">
        <v>1589</v>
      </c>
      <c r="D642" s="45" t="s">
        <v>486</v>
      </c>
      <c r="E642" s="10" t="s">
        <v>909</v>
      </c>
      <c r="F642" s="47" t="s">
        <v>143</v>
      </c>
      <c r="G642" s="42"/>
      <c r="H642" s="42"/>
      <c r="I642" s="44">
        <v>15.6</v>
      </c>
      <c r="J642" s="44">
        <f t="shared" si="384"/>
        <v>15.6</v>
      </c>
      <c r="K642" s="42">
        <v>21000</v>
      </c>
      <c r="L642" s="42">
        <f t="shared" si="390"/>
        <v>327600</v>
      </c>
      <c r="M642" s="42"/>
      <c r="N642" s="42" t="s">
        <v>60</v>
      </c>
      <c r="O642" s="101" t="s">
        <v>446</v>
      </c>
      <c r="P642" s="45">
        <v>3</v>
      </c>
      <c r="Q642" s="100">
        <v>144</v>
      </c>
      <c r="R642" s="100"/>
      <c r="S642" s="42">
        <v>7550</v>
      </c>
      <c r="T642" s="12">
        <f t="shared" si="385"/>
        <v>1087200</v>
      </c>
      <c r="U642" s="102" t="s">
        <v>93</v>
      </c>
      <c r="V642" s="12">
        <f>+T642*0.44</f>
        <v>478368</v>
      </c>
      <c r="W642" s="12">
        <f t="shared" si="386"/>
        <v>608832</v>
      </c>
      <c r="X642" s="116"/>
      <c r="Y642" s="117">
        <f t="shared" si="387"/>
        <v>936432</v>
      </c>
      <c r="Z642" s="12"/>
      <c r="AA642" s="12">
        <f t="shared" si="388"/>
        <v>936432</v>
      </c>
      <c r="AB642" s="12">
        <v>0.3</v>
      </c>
      <c r="AC642" s="12">
        <f t="shared" si="389"/>
        <v>2809.296</v>
      </c>
      <c r="AD642" s="42"/>
      <c r="AE642" s="12"/>
    </row>
    <row r="643" spans="1:31" s="46" customFormat="1" ht="21">
      <c r="A643" s="42" t="s">
        <v>0</v>
      </c>
      <c r="B643" s="42" t="s">
        <v>1</v>
      </c>
      <c r="C643" s="45" t="s">
        <v>1590</v>
      </c>
      <c r="D643" s="51" t="s">
        <v>487</v>
      </c>
      <c r="E643" s="10" t="s">
        <v>909</v>
      </c>
      <c r="F643" s="47" t="s">
        <v>140</v>
      </c>
      <c r="G643" s="42"/>
      <c r="H643" s="42"/>
      <c r="I643" s="44">
        <v>33</v>
      </c>
      <c r="J643" s="44">
        <f t="shared" si="384"/>
        <v>33</v>
      </c>
      <c r="K643" s="42">
        <v>12000</v>
      </c>
      <c r="L643" s="42">
        <f aca="true" t="shared" si="392" ref="L643:L651">+K643*J643</f>
        <v>396000</v>
      </c>
      <c r="M643" s="42"/>
      <c r="N643" s="42"/>
      <c r="O643" s="101"/>
      <c r="P643" s="45"/>
      <c r="Q643" s="42"/>
      <c r="R643" s="100"/>
      <c r="S643" s="42"/>
      <c r="T643" s="12">
        <f t="shared" si="385"/>
        <v>0</v>
      </c>
      <c r="U643" s="45"/>
      <c r="V643" s="12">
        <f aca="true" t="shared" si="393" ref="V643:V650">+T643*0</f>
        <v>0</v>
      </c>
      <c r="W643" s="12">
        <f t="shared" si="386"/>
        <v>0</v>
      </c>
      <c r="X643" s="116"/>
      <c r="Y643" s="117">
        <f t="shared" si="387"/>
        <v>396000</v>
      </c>
      <c r="Z643" s="12"/>
      <c r="AA643" s="12">
        <f t="shared" si="388"/>
        <v>396000</v>
      </c>
      <c r="AB643" s="12">
        <v>0.3</v>
      </c>
      <c r="AC643" s="12">
        <f t="shared" si="389"/>
        <v>1188</v>
      </c>
      <c r="AD643" s="42"/>
      <c r="AE643" s="12"/>
    </row>
    <row r="644" spans="1:31" s="46" customFormat="1" ht="21">
      <c r="A644" s="42" t="s">
        <v>0</v>
      </c>
      <c r="B644" s="42" t="s">
        <v>1</v>
      </c>
      <c r="C644" s="45" t="s">
        <v>1591</v>
      </c>
      <c r="D644" s="51" t="s">
        <v>488</v>
      </c>
      <c r="E644" s="10" t="s">
        <v>909</v>
      </c>
      <c r="F644" s="47" t="s">
        <v>140</v>
      </c>
      <c r="G644" s="42"/>
      <c r="H644" s="42"/>
      <c r="I644" s="44">
        <v>20.1</v>
      </c>
      <c r="J644" s="44">
        <f t="shared" si="384"/>
        <v>20.1</v>
      </c>
      <c r="K644" s="42">
        <v>12000</v>
      </c>
      <c r="L644" s="42">
        <f t="shared" si="392"/>
        <v>241200.00000000003</v>
      </c>
      <c r="M644" s="42"/>
      <c r="N644" s="42"/>
      <c r="O644" s="101"/>
      <c r="P644" s="45"/>
      <c r="Q644" s="42"/>
      <c r="R644" s="100"/>
      <c r="S644" s="42"/>
      <c r="T644" s="12">
        <f t="shared" si="385"/>
        <v>0</v>
      </c>
      <c r="U644" s="45"/>
      <c r="V644" s="12">
        <f t="shared" si="393"/>
        <v>0</v>
      </c>
      <c r="W644" s="12">
        <f t="shared" si="386"/>
        <v>0</v>
      </c>
      <c r="X644" s="116"/>
      <c r="Y644" s="117">
        <f t="shared" si="387"/>
        <v>241200.00000000003</v>
      </c>
      <c r="Z644" s="12"/>
      <c r="AA644" s="12">
        <f t="shared" si="388"/>
        <v>241200.00000000003</v>
      </c>
      <c r="AB644" s="12">
        <v>0.3</v>
      </c>
      <c r="AC644" s="12">
        <f t="shared" si="389"/>
        <v>723.6</v>
      </c>
      <c r="AD644" s="42"/>
      <c r="AE644" s="12"/>
    </row>
    <row r="645" spans="1:31" s="46" customFormat="1" ht="21">
      <c r="A645" s="42" t="s">
        <v>0</v>
      </c>
      <c r="B645" s="42" t="s">
        <v>1</v>
      </c>
      <c r="C645" s="45" t="s">
        <v>1592</v>
      </c>
      <c r="D645" s="51" t="s">
        <v>489</v>
      </c>
      <c r="E645" s="10" t="s">
        <v>909</v>
      </c>
      <c r="F645" s="47" t="s">
        <v>140</v>
      </c>
      <c r="G645" s="42"/>
      <c r="H645" s="42"/>
      <c r="I645" s="44">
        <v>19.7</v>
      </c>
      <c r="J645" s="44">
        <f t="shared" si="384"/>
        <v>19.7</v>
      </c>
      <c r="K645" s="42">
        <v>12000</v>
      </c>
      <c r="L645" s="42">
        <f t="shared" si="392"/>
        <v>236400</v>
      </c>
      <c r="M645" s="42"/>
      <c r="N645" s="42"/>
      <c r="O645" s="101"/>
      <c r="P645" s="45"/>
      <c r="Q645" s="42"/>
      <c r="R645" s="100"/>
      <c r="S645" s="42"/>
      <c r="T645" s="12">
        <f t="shared" si="385"/>
        <v>0</v>
      </c>
      <c r="U645" s="45"/>
      <c r="V645" s="12">
        <f t="shared" si="393"/>
        <v>0</v>
      </c>
      <c r="W645" s="12">
        <f t="shared" si="386"/>
        <v>0</v>
      </c>
      <c r="X645" s="116"/>
      <c r="Y645" s="117">
        <f t="shared" si="387"/>
        <v>236400</v>
      </c>
      <c r="Z645" s="12"/>
      <c r="AA645" s="12">
        <f t="shared" si="388"/>
        <v>236400</v>
      </c>
      <c r="AB645" s="12">
        <v>0.3</v>
      </c>
      <c r="AC645" s="12">
        <f t="shared" si="389"/>
        <v>709.2</v>
      </c>
      <c r="AD645" s="42"/>
      <c r="AE645" s="12"/>
    </row>
    <row r="646" spans="1:31" s="46" customFormat="1" ht="21">
      <c r="A646" s="42" t="s">
        <v>0</v>
      </c>
      <c r="B646" s="42" t="s">
        <v>1</v>
      </c>
      <c r="C646" s="45" t="s">
        <v>1593</v>
      </c>
      <c r="D646" s="51" t="s">
        <v>490</v>
      </c>
      <c r="E646" s="10" t="s">
        <v>909</v>
      </c>
      <c r="F646" s="47" t="s">
        <v>140</v>
      </c>
      <c r="G646" s="42"/>
      <c r="H646" s="42"/>
      <c r="I646" s="44">
        <v>20.6</v>
      </c>
      <c r="J646" s="44">
        <f t="shared" si="384"/>
        <v>20.6</v>
      </c>
      <c r="K646" s="42">
        <v>12000</v>
      </c>
      <c r="L646" s="42">
        <f t="shared" si="392"/>
        <v>247200.00000000003</v>
      </c>
      <c r="M646" s="42"/>
      <c r="N646" s="42"/>
      <c r="O646" s="101"/>
      <c r="P646" s="45"/>
      <c r="Q646" s="42"/>
      <c r="R646" s="100"/>
      <c r="S646" s="42"/>
      <c r="T646" s="12">
        <f t="shared" si="385"/>
        <v>0</v>
      </c>
      <c r="U646" s="45"/>
      <c r="V646" s="12">
        <f t="shared" si="393"/>
        <v>0</v>
      </c>
      <c r="W646" s="12">
        <f t="shared" si="386"/>
        <v>0</v>
      </c>
      <c r="X646" s="116"/>
      <c r="Y646" s="117">
        <f t="shared" si="387"/>
        <v>247200.00000000003</v>
      </c>
      <c r="Z646" s="12"/>
      <c r="AA646" s="12">
        <f t="shared" si="388"/>
        <v>247200.00000000003</v>
      </c>
      <c r="AB646" s="12">
        <v>0.3</v>
      </c>
      <c r="AC646" s="12">
        <f t="shared" si="389"/>
        <v>741.6</v>
      </c>
      <c r="AD646" s="42"/>
      <c r="AE646" s="12"/>
    </row>
    <row r="647" spans="1:31" s="46" customFormat="1" ht="21">
      <c r="A647" s="42" t="s">
        <v>0</v>
      </c>
      <c r="B647" s="42" t="s">
        <v>1</v>
      </c>
      <c r="C647" s="45" t="s">
        <v>1594</v>
      </c>
      <c r="D647" s="51" t="s">
        <v>491</v>
      </c>
      <c r="E647" s="10" t="s">
        <v>909</v>
      </c>
      <c r="F647" s="47" t="s">
        <v>140</v>
      </c>
      <c r="G647" s="42"/>
      <c r="H647" s="42"/>
      <c r="I647" s="44">
        <v>20.1</v>
      </c>
      <c r="J647" s="44">
        <f t="shared" si="384"/>
        <v>20.1</v>
      </c>
      <c r="K647" s="42">
        <v>12000</v>
      </c>
      <c r="L647" s="42">
        <f t="shared" si="392"/>
        <v>241200.00000000003</v>
      </c>
      <c r="M647" s="42"/>
      <c r="N647" s="42"/>
      <c r="O647" s="101"/>
      <c r="P647" s="45"/>
      <c r="Q647" s="42"/>
      <c r="R647" s="100"/>
      <c r="S647" s="42"/>
      <c r="T647" s="12">
        <f t="shared" si="385"/>
        <v>0</v>
      </c>
      <c r="U647" s="45"/>
      <c r="V647" s="12">
        <f t="shared" si="393"/>
        <v>0</v>
      </c>
      <c r="W647" s="12">
        <f t="shared" si="386"/>
        <v>0</v>
      </c>
      <c r="X647" s="116"/>
      <c r="Y647" s="117">
        <f t="shared" si="387"/>
        <v>241200.00000000003</v>
      </c>
      <c r="Z647" s="12"/>
      <c r="AA647" s="12">
        <f t="shared" si="388"/>
        <v>241200.00000000003</v>
      </c>
      <c r="AB647" s="12">
        <v>0.3</v>
      </c>
      <c r="AC647" s="12">
        <f t="shared" si="389"/>
        <v>723.6</v>
      </c>
      <c r="AD647" s="42"/>
      <c r="AE647" s="12"/>
    </row>
    <row r="648" spans="1:31" s="46" customFormat="1" ht="21">
      <c r="A648" s="42" t="s">
        <v>0</v>
      </c>
      <c r="B648" s="42" t="s">
        <v>1</v>
      </c>
      <c r="C648" s="45" t="s">
        <v>1595</v>
      </c>
      <c r="D648" s="45" t="s">
        <v>492</v>
      </c>
      <c r="E648" s="10" t="s">
        <v>909</v>
      </c>
      <c r="F648" s="47" t="s">
        <v>140</v>
      </c>
      <c r="G648" s="42"/>
      <c r="H648" s="42"/>
      <c r="I648" s="44">
        <v>72.7</v>
      </c>
      <c r="J648" s="44">
        <f t="shared" si="384"/>
        <v>72.7</v>
      </c>
      <c r="K648" s="42">
        <v>6000</v>
      </c>
      <c r="L648" s="42">
        <f t="shared" si="392"/>
        <v>436200</v>
      </c>
      <c r="M648" s="42"/>
      <c r="N648" s="42"/>
      <c r="O648" s="101"/>
      <c r="P648" s="45"/>
      <c r="Q648" s="42"/>
      <c r="R648" s="100"/>
      <c r="S648" s="42"/>
      <c r="T648" s="12">
        <f t="shared" si="385"/>
        <v>0</v>
      </c>
      <c r="U648" s="45"/>
      <c r="V648" s="12">
        <f t="shared" si="393"/>
        <v>0</v>
      </c>
      <c r="W648" s="12">
        <f t="shared" si="386"/>
        <v>0</v>
      </c>
      <c r="X648" s="116"/>
      <c r="Y648" s="117">
        <f t="shared" si="387"/>
        <v>436200</v>
      </c>
      <c r="Z648" s="12"/>
      <c r="AA648" s="12">
        <f t="shared" si="388"/>
        <v>436200</v>
      </c>
      <c r="AB648" s="12">
        <v>0.3</v>
      </c>
      <c r="AC648" s="12">
        <f t="shared" si="389"/>
        <v>1308.6</v>
      </c>
      <c r="AD648" s="42"/>
      <c r="AE648" s="12"/>
    </row>
    <row r="649" spans="1:31" s="46" customFormat="1" ht="21">
      <c r="A649" s="42" t="s">
        <v>0</v>
      </c>
      <c r="B649" s="42" t="s">
        <v>1</v>
      </c>
      <c r="C649" s="45" t="s">
        <v>1596</v>
      </c>
      <c r="D649" s="45" t="s">
        <v>493</v>
      </c>
      <c r="E649" s="10" t="s">
        <v>909</v>
      </c>
      <c r="F649" s="47" t="s">
        <v>140</v>
      </c>
      <c r="G649" s="42"/>
      <c r="H649" s="42"/>
      <c r="I649" s="44">
        <v>70.4</v>
      </c>
      <c r="J649" s="44">
        <f t="shared" si="384"/>
        <v>70.4</v>
      </c>
      <c r="K649" s="42">
        <v>15000</v>
      </c>
      <c r="L649" s="42">
        <f t="shared" si="392"/>
        <v>1056000</v>
      </c>
      <c r="M649" s="42"/>
      <c r="N649" s="42"/>
      <c r="O649" s="101"/>
      <c r="P649" s="45"/>
      <c r="Q649" s="42"/>
      <c r="R649" s="100"/>
      <c r="S649" s="42"/>
      <c r="T649" s="12">
        <f t="shared" si="385"/>
        <v>0</v>
      </c>
      <c r="U649" s="45"/>
      <c r="V649" s="12">
        <f t="shared" si="393"/>
        <v>0</v>
      </c>
      <c r="W649" s="12">
        <f t="shared" si="386"/>
        <v>0</v>
      </c>
      <c r="X649" s="116"/>
      <c r="Y649" s="117">
        <f t="shared" si="387"/>
        <v>1056000</v>
      </c>
      <c r="Z649" s="12"/>
      <c r="AA649" s="12">
        <f t="shared" si="388"/>
        <v>1056000</v>
      </c>
      <c r="AB649" s="12">
        <v>0.3</v>
      </c>
      <c r="AC649" s="12">
        <f t="shared" si="389"/>
        <v>3168</v>
      </c>
      <c r="AD649" s="42"/>
      <c r="AE649" s="12"/>
    </row>
    <row r="650" spans="1:31" s="46" customFormat="1" ht="21">
      <c r="A650" s="42" t="s">
        <v>0</v>
      </c>
      <c r="B650" s="42" t="s">
        <v>1</v>
      </c>
      <c r="C650" s="45" t="s">
        <v>1597</v>
      </c>
      <c r="D650" s="45" t="s">
        <v>494</v>
      </c>
      <c r="E650" s="10" t="s">
        <v>909</v>
      </c>
      <c r="F650" s="47" t="s">
        <v>140</v>
      </c>
      <c r="G650" s="42"/>
      <c r="H650" s="42"/>
      <c r="I650" s="44">
        <v>69.3</v>
      </c>
      <c r="J650" s="44">
        <f t="shared" si="384"/>
        <v>69.3</v>
      </c>
      <c r="K650" s="42">
        <v>15000</v>
      </c>
      <c r="L650" s="42">
        <f t="shared" si="392"/>
        <v>1039500</v>
      </c>
      <c r="M650" s="42"/>
      <c r="N650" s="42"/>
      <c r="O650" s="101"/>
      <c r="P650" s="45"/>
      <c r="Q650" s="42"/>
      <c r="R650" s="100"/>
      <c r="S650" s="42"/>
      <c r="T650" s="12">
        <f t="shared" si="385"/>
        <v>0</v>
      </c>
      <c r="U650" s="45"/>
      <c r="V650" s="12">
        <f t="shared" si="393"/>
        <v>0</v>
      </c>
      <c r="W650" s="12">
        <f t="shared" si="386"/>
        <v>0</v>
      </c>
      <c r="X650" s="116"/>
      <c r="Y650" s="117">
        <f t="shared" si="387"/>
        <v>1039500</v>
      </c>
      <c r="Z650" s="12"/>
      <c r="AA650" s="12">
        <f t="shared" si="388"/>
        <v>1039500</v>
      </c>
      <c r="AB650" s="12">
        <v>0.3</v>
      </c>
      <c r="AC650" s="12">
        <f t="shared" si="389"/>
        <v>3118.5</v>
      </c>
      <c r="AD650" s="42"/>
      <c r="AE650" s="12"/>
    </row>
    <row r="651" spans="1:31" s="46" customFormat="1" ht="21">
      <c r="A651" s="42" t="s">
        <v>0</v>
      </c>
      <c r="B651" s="42" t="s">
        <v>1</v>
      </c>
      <c r="C651" s="45" t="s">
        <v>1598</v>
      </c>
      <c r="D651" s="45" t="s">
        <v>495</v>
      </c>
      <c r="E651" s="10" t="s">
        <v>909</v>
      </c>
      <c r="F651" s="47" t="s">
        <v>137</v>
      </c>
      <c r="G651" s="42"/>
      <c r="H651" s="42"/>
      <c r="I651" s="44">
        <v>11.7</v>
      </c>
      <c r="J651" s="44">
        <f t="shared" si="384"/>
        <v>11.7</v>
      </c>
      <c r="K651" s="42">
        <v>18000</v>
      </c>
      <c r="L651" s="42">
        <f t="shared" si="392"/>
        <v>210600</v>
      </c>
      <c r="M651" s="42"/>
      <c r="N651" s="42" t="s">
        <v>60</v>
      </c>
      <c r="O651" s="101" t="s">
        <v>446</v>
      </c>
      <c r="P651" s="45">
        <v>2</v>
      </c>
      <c r="Q651" s="100">
        <v>80</v>
      </c>
      <c r="R651" s="100"/>
      <c r="S651" s="42">
        <v>7550</v>
      </c>
      <c r="T651" s="12">
        <f t="shared" si="385"/>
        <v>604000</v>
      </c>
      <c r="U651" s="102" t="s">
        <v>94</v>
      </c>
      <c r="V651" s="12">
        <f>+T651*0.46</f>
        <v>277840</v>
      </c>
      <c r="W651" s="12">
        <f t="shared" si="386"/>
        <v>326160</v>
      </c>
      <c r="X651" s="116"/>
      <c r="Y651" s="117">
        <f t="shared" si="387"/>
        <v>536760</v>
      </c>
      <c r="Z651" s="12"/>
      <c r="AA651" s="12">
        <f t="shared" si="388"/>
        <v>536760</v>
      </c>
      <c r="AB651" s="12">
        <v>0.02</v>
      </c>
      <c r="AC651" s="12">
        <f t="shared" si="389"/>
        <v>107.352</v>
      </c>
      <c r="AD651" s="42"/>
      <c r="AE651" s="12"/>
    </row>
  </sheetData>
  <sheetProtection/>
  <mergeCells count="7">
    <mergeCell ref="A1:Z1"/>
    <mergeCell ref="AA1:AB1"/>
    <mergeCell ref="G4:I4"/>
    <mergeCell ref="G2:L2"/>
    <mergeCell ref="M2:W2"/>
    <mergeCell ref="G3:I3"/>
    <mergeCell ref="U3:V3"/>
  </mergeCells>
  <printOptions/>
  <pageMargins left="0.31496062992125984" right="0.31496062992125984" top="0.7480314960629921" bottom="0.5511811023622047" header="0.31496062992125984" footer="0.31496062992125984"/>
  <pageSetup orientation="landscape" paperSize="5" scale="75" r:id="rId1"/>
  <headerFooter>
    <oddFooter>&amp;Cฉ..หน้าที่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E14"/>
  <sheetViews>
    <sheetView view="pageBreakPreview" zoomScale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H20" sqref="H20"/>
    </sheetView>
  </sheetViews>
  <sheetFormatPr defaultColWidth="9.140625" defaultRowHeight="15"/>
  <cols>
    <col min="1" max="1" width="3.57421875" style="52" customWidth="1"/>
    <col min="2" max="2" width="6.8515625" style="52" customWidth="1"/>
    <col min="3" max="3" width="6.8515625" style="53" customWidth="1"/>
    <col min="4" max="4" width="5.8515625" style="52" customWidth="1"/>
    <col min="5" max="5" width="8.00390625" style="52" customWidth="1"/>
    <col min="6" max="6" width="6.140625" style="55" customWidth="1"/>
    <col min="7" max="9" width="3.57421875" style="52" customWidth="1"/>
    <col min="10" max="10" width="6.421875" style="52" customWidth="1"/>
    <col min="11" max="11" width="7.421875" style="56" customWidth="1"/>
    <col min="12" max="12" width="7.421875" style="52" customWidth="1"/>
    <col min="13" max="13" width="3.421875" style="52" customWidth="1"/>
    <col min="14" max="15" width="9.28125" style="52" customWidth="1"/>
    <col min="16" max="16" width="6.28125" style="52" customWidth="1"/>
    <col min="17" max="17" width="9.00390625" style="52" customWidth="1"/>
    <col min="18" max="18" width="8.140625" style="52" customWidth="1"/>
    <col min="19" max="19" width="7.140625" style="52" customWidth="1"/>
    <col min="20" max="20" width="9.00390625" style="3" customWidth="1"/>
    <col min="21" max="21" width="6.28125" style="58" customWidth="1"/>
    <col min="22" max="22" width="8.140625" style="3" customWidth="1"/>
    <col min="23" max="23" width="11.421875" style="3" customWidth="1"/>
    <col min="24" max="24" width="10.28125" style="118" customWidth="1"/>
    <col min="25" max="25" width="9.8515625" style="118" customWidth="1"/>
    <col min="26" max="26" width="8.28125" style="3" customWidth="1"/>
    <col min="27" max="27" width="9.00390625" style="3" customWidth="1"/>
    <col min="28" max="28" width="5.421875" style="3" customWidth="1"/>
    <col min="29" max="29" width="7.8515625" style="3" hidden="1" customWidth="1"/>
    <col min="30" max="30" width="6.57421875" style="11" hidden="1" customWidth="1"/>
    <col min="31" max="31" width="8.28125" style="3" hidden="1" customWidth="1"/>
    <col min="32" max="16384" width="9.00390625" style="59" customWidth="1"/>
  </cols>
  <sheetData>
    <row r="1" spans="1:230" s="28" customFormat="1" ht="21">
      <c r="A1" s="156" t="s">
        <v>1857</v>
      </c>
      <c r="B1" s="156"/>
      <c r="C1" s="156"/>
      <c r="D1" s="157"/>
      <c r="E1" s="156"/>
      <c r="F1" s="156"/>
      <c r="G1" s="156"/>
      <c r="H1" s="156"/>
      <c r="I1" s="156"/>
      <c r="J1" s="156"/>
      <c r="K1" s="156"/>
      <c r="L1" s="158"/>
      <c r="M1" s="156"/>
      <c r="N1" s="156"/>
      <c r="O1" s="156"/>
      <c r="P1" s="156"/>
      <c r="Q1" s="156"/>
      <c r="R1" s="159"/>
      <c r="S1" s="156"/>
      <c r="T1" s="158"/>
      <c r="U1" s="156"/>
      <c r="V1" s="158"/>
      <c r="W1" s="158"/>
      <c r="X1" s="156"/>
      <c r="Y1" s="158"/>
      <c r="Z1" s="158"/>
      <c r="AA1" s="141" t="s">
        <v>1858</v>
      </c>
      <c r="AB1" s="142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</row>
    <row r="2" spans="1:230" s="32" customFormat="1" ht="21">
      <c r="A2" s="64" t="s">
        <v>0</v>
      </c>
      <c r="B2" s="64"/>
      <c r="C2" s="65"/>
      <c r="D2" s="66"/>
      <c r="E2" s="64"/>
      <c r="F2" s="64"/>
      <c r="G2" s="148" t="s">
        <v>56</v>
      </c>
      <c r="H2" s="148"/>
      <c r="I2" s="148"/>
      <c r="J2" s="149"/>
      <c r="K2" s="149"/>
      <c r="L2" s="150"/>
      <c r="M2" s="151" t="s">
        <v>57</v>
      </c>
      <c r="N2" s="149"/>
      <c r="O2" s="149"/>
      <c r="P2" s="149"/>
      <c r="Q2" s="149"/>
      <c r="R2" s="152"/>
      <c r="S2" s="149"/>
      <c r="T2" s="153"/>
      <c r="U2" s="149"/>
      <c r="V2" s="153"/>
      <c r="W2" s="150"/>
      <c r="X2" s="64" t="s">
        <v>34</v>
      </c>
      <c r="Y2" s="67" t="s">
        <v>31</v>
      </c>
      <c r="Z2" s="68" t="s">
        <v>44</v>
      </c>
      <c r="AA2" s="68" t="s">
        <v>43</v>
      </c>
      <c r="AB2" s="64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</row>
    <row r="3" spans="1:230" s="32" customFormat="1" ht="21.75" customHeight="1">
      <c r="A3" s="37" t="s">
        <v>38</v>
      </c>
      <c r="B3" s="37" t="s">
        <v>42</v>
      </c>
      <c r="C3" s="69" t="s">
        <v>902</v>
      </c>
      <c r="D3" s="37" t="s">
        <v>29</v>
      </c>
      <c r="E3" s="70" t="s">
        <v>903</v>
      </c>
      <c r="F3" s="71" t="s">
        <v>41</v>
      </c>
      <c r="G3" s="154" t="s">
        <v>40</v>
      </c>
      <c r="H3" s="148"/>
      <c r="I3" s="155"/>
      <c r="J3" s="72" t="s">
        <v>39</v>
      </c>
      <c r="K3" s="73" t="s">
        <v>35</v>
      </c>
      <c r="L3" s="107" t="s">
        <v>34</v>
      </c>
      <c r="M3" s="38" t="s">
        <v>38</v>
      </c>
      <c r="N3" s="33" t="s">
        <v>37</v>
      </c>
      <c r="O3" s="34" t="s">
        <v>41</v>
      </c>
      <c r="P3" s="35" t="s">
        <v>41</v>
      </c>
      <c r="Q3" s="62" t="s">
        <v>36</v>
      </c>
      <c r="R3" s="74" t="s">
        <v>22</v>
      </c>
      <c r="S3" s="37" t="s">
        <v>35</v>
      </c>
      <c r="T3" s="36" t="s">
        <v>34</v>
      </c>
      <c r="U3" s="143" t="s">
        <v>11</v>
      </c>
      <c r="V3" s="144"/>
      <c r="W3" s="36" t="s">
        <v>31</v>
      </c>
      <c r="X3" s="38" t="s">
        <v>33</v>
      </c>
      <c r="Y3" s="75" t="s">
        <v>1859</v>
      </c>
      <c r="Z3" s="39" t="s">
        <v>32</v>
      </c>
      <c r="AA3" s="39" t="s">
        <v>31</v>
      </c>
      <c r="AB3" s="38" t="s">
        <v>30</v>
      </c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</row>
    <row r="4" spans="1:230" s="32" customFormat="1" ht="36" customHeight="1">
      <c r="A4" s="37" t="s">
        <v>0</v>
      </c>
      <c r="B4" s="37" t="s">
        <v>58</v>
      </c>
      <c r="C4" s="69" t="s">
        <v>904</v>
      </c>
      <c r="D4" s="76"/>
      <c r="E4" s="70" t="s">
        <v>1860</v>
      </c>
      <c r="F4" s="71" t="s">
        <v>905</v>
      </c>
      <c r="G4" s="145" t="s">
        <v>28</v>
      </c>
      <c r="H4" s="146"/>
      <c r="I4" s="147"/>
      <c r="J4" s="77" t="s">
        <v>27</v>
      </c>
      <c r="K4" s="78" t="s">
        <v>25</v>
      </c>
      <c r="L4" s="36" t="s">
        <v>24</v>
      </c>
      <c r="M4" s="38"/>
      <c r="N4" s="37" t="s">
        <v>9</v>
      </c>
      <c r="O4" s="34" t="s">
        <v>9</v>
      </c>
      <c r="P4" s="35" t="s">
        <v>905</v>
      </c>
      <c r="Q4" s="62" t="s">
        <v>26</v>
      </c>
      <c r="R4" s="74" t="s">
        <v>1861</v>
      </c>
      <c r="S4" s="37" t="s">
        <v>1862</v>
      </c>
      <c r="T4" s="37" t="s">
        <v>9</v>
      </c>
      <c r="U4" s="37" t="s">
        <v>23</v>
      </c>
      <c r="V4" s="36" t="s">
        <v>22</v>
      </c>
      <c r="W4" s="36" t="s">
        <v>9</v>
      </c>
      <c r="X4" s="38" t="s">
        <v>21</v>
      </c>
      <c r="Y4" s="75" t="s">
        <v>9</v>
      </c>
      <c r="Z4" s="39" t="s">
        <v>20</v>
      </c>
      <c r="AA4" s="39" t="s">
        <v>19</v>
      </c>
      <c r="AB4" s="38" t="s">
        <v>18</v>
      </c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</row>
    <row r="5" spans="1:230" s="32" customFormat="1" ht="18.75" customHeight="1">
      <c r="A5" s="37" t="s">
        <v>0</v>
      </c>
      <c r="B5" s="37"/>
      <c r="C5" s="69"/>
      <c r="D5" s="76"/>
      <c r="E5" s="71" t="s">
        <v>1863</v>
      </c>
      <c r="F5" s="79" t="s">
        <v>17</v>
      </c>
      <c r="G5" s="64"/>
      <c r="H5" s="64"/>
      <c r="I5" s="64"/>
      <c r="J5" s="77" t="s">
        <v>16</v>
      </c>
      <c r="K5" s="78" t="s">
        <v>15</v>
      </c>
      <c r="L5" s="36" t="s">
        <v>58</v>
      </c>
      <c r="M5" s="38"/>
      <c r="N5" s="38"/>
      <c r="O5" s="37"/>
      <c r="P5" s="35" t="s">
        <v>17</v>
      </c>
      <c r="Q5" s="39" t="s">
        <v>14</v>
      </c>
      <c r="R5" s="74" t="s">
        <v>1864</v>
      </c>
      <c r="S5" s="38" t="s">
        <v>1865</v>
      </c>
      <c r="T5" s="36"/>
      <c r="U5" s="34" t="s">
        <v>12</v>
      </c>
      <c r="V5" s="36" t="s">
        <v>11</v>
      </c>
      <c r="W5" s="62" t="s">
        <v>10</v>
      </c>
      <c r="X5" s="38" t="s">
        <v>9</v>
      </c>
      <c r="Y5" s="75" t="s">
        <v>1866</v>
      </c>
      <c r="Z5" s="39" t="s">
        <v>8</v>
      </c>
      <c r="AA5" s="39" t="s">
        <v>1867</v>
      </c>
      <c r="AB5" s="38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</row>
    <row r="6" spans="1:230" s="32" customFormat="1" ht="21">
      <c r="A6" s="38" t="s">
        <v>0</v>
      </c>
      <c r="B6" s="38"/>
      <c r="C6" s="80"/>
      <c r="D6" s="81"/>
      <c r="E6" s="82"/>
      <c r="F6" s="82"/>
      <c r="G6" s="38" t="s">
        <v>7</v>
      </c>
      <c r="H6" s="38" t="s">
        <v>6</v>
      </c>
      <c r="I6" s="38" t="s">
        <v>59</v>
      </c>
      <c r="J6" s="77"/>
      <c r="K6" s="83" t="s">
        <v>3</v>
      </c>
      <c r="L6" s="39" t="s">
        <v>3</v>
      </c>
      <c r="M6" s="38"/>
      <c r="N6" s="84"/>
      <c r="O6" s="38"/>
      <c r="P6" s="40"/>
      <c r="Q6" s="39"/>
      <c r="R6" s="74" t="s">
        <v>17</v>
      </c>
      <c r="S6" s="38" t="s">
        <v>3</v>
      </c>
      <c r="T6" s="39" t="s">
        <v>3</v>
      </c>
      <c r="U6" s="38" t="s">
        <v>5</v>
      </c>
      <c r="V6" s="39" t="s">
        <v>3</v>
      </c>
      <c r="W6" s="39" t="s">
        <v>3</v>
      </c>
      <c r="X6" s="38" t="s">
        <v>3</v>
      </c>
      <c r="Y6" s="85" t="s">
        <v>1868</v>
      </c>
      <c r="Z6" s="39" t="s">
        <v>3</v>
      </c>
      <c r="AA6" s="39" t="s">
        <v>1869</v>
      </c>
      <c r="AB6" s="86" t="s">
        <v>4</v>
      </c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</row>
    <row r="7" spans="1:239" s="41" customFormat="1" ht="21">
      <c r="A7" s="38" t="s">
        <v>0</v>
      </c>
      <c r="B7" s="87"/>
      <c r="C7" s="88"/>
      <c r="D7" s="89"/>
      <c r="E7" s="90"/>
      <c r="F7" s="91"/>
      <c r="G7" s="87"/>
      <c r="H7" s="87"/>
      <c r="I7" s="87"/>
      <c r="J7" s="92"/>
      <c r="K7" s="93"/>
      <c r="L7" s="108"/>
      <c r="M7" s="87"/>
      <c r="N7" s="87"/>
      <c r="O7" s="87"/>
      <c r="P7" s="95"/>
      <c r="Q7" s="87"/>
      <c r="R7" s="96" t="s">
        <v>4</v>
      </c>
      <c r="S7" s="97"/>
      <c r="T7" s="98"/>
      <c r="U7" s="87"/>
      <c r="V7" s="98"/>
      <c r="W7" s="98"/>
      <c r="X7" s="87"/>
      <c r="Y7" s="99" t="s">
        <v>3</v>
      </c>
      <c r="Z7" s="98"/>
      <c r="AA7" s="99" t="s">
        <v>3</v>
      </c>
      <c r="AB7" s="87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IC7" s="32"/>
      <c r="ID7" s="32"/>
      <c r="IE7" s="32"/>
    </row>
    <row r="8" spans="1:31" s="46" customFormat="1" ht="21">
      <c r="A8" s="42" t="s">
        <v>0</v>
      </c>
      <c r="B8" s="42" t="s">
        <v>1</v>
      </c>
      <c r="C8" s="45">
        <v>5705</v>
      </c>
      <c r="D8" s="119" t="s">
        <v>640</v>
      </c>
      <c r="E8" s="10" t="s">
        <v>909</v>
      </c>
      <c r="F8" s="47">
        <v>4</v>
      </c>
      <c r="G8" s="42"/>
      <c r="H8" s="42"/>
      <c r="I8" s="44">
        <v>62.2</v>
      </c>
      <c r="J8" s="44">
        <f aca="true" t="shared" si="0" ref="J8:J14">+I8+(H8*100)+(G8*400)</f>
        <v>62.2</v>
      </c>
      <c r="K8" s="42">
        <v>6000</v>
      </c>
      <c r="L8" s="42">
        <f aca="true" t="shared" si="1" ref="L8:L14">+K8*J8</f>
        <v>373200</v>
      </c>
      <c r="M8" s="42"/>
      <c r="N8" s="42"/>
      <c r="O8" s="100"/>
      <c r="P8" s="100"/>
      <c r="Q8" s="100"/>
      <c r="R8" s="100"/>
      <c r="S8" s="42"/>
      <c r="T8" s="12">
        <f aca="true" t="shared" si="2" ref="T8:T14">+Q8*S8</f>
        <v>0</v>
      </c>
      <c r="U8" s="45"/>
      <c r="V8" s="12">
        <f>+T8*0</f>
        <v>0</v>
      </c>
      <c r="W8" s="12">
        <f aca="true" t="shared" si="3" ref="W8:W14">+T8-V8</f>
        <v>0</v>
      </c>
      <c r="X8" s="116"/>
      <c r="Y8" s="117">
        <f aca="true" t="shared" si="4" ref="Y8:Y14">+L8+W8</f>
        <v>373200</v>
      </c>
      <c r="Z8" s="12"/>
      <c r="AA8" s="12">
        <f aca="true" t="shared" si="5" ref="AA8:AA14">+Y8-Z8</f>
        <v>373200</v>
      </c>
      <c r="AB8" s="12">
        <v>0.3</v>
      </c>
      <c r="AC8" s="12">
        <f aca="true" t="shared" si="6" ref="AC8:AC14">+AA8*AB8/100</f>
        <v>1119.6</v>
      </c>
      <c r="AD8" s="42"/>
      <c r="AE8" s="12"/>
    </row>
    <row r="9" spans="1:31" s="46" customFormat="1" ht="21">
      <c r="A9" s="42" t="s">
        <v>0</v>
      </c>
      <c r="B9" s="42" t="s">
        <v>1</v>
      </c>
      <c r="C9" s="45">
        <v>10564</v>
      </c>
      <c r="D9" s="31" t="s">
        <v>641</v>
      </c>
      <c r="E9" s="10" t="s">
        <v>909</v>
      </c>
      <c r="F9" s="47">
        <v>4</v>
      </c>
      <c r="G9" s="42"/>
      <c r="H9" s="42"/>
      <c r="I9" s="44">
        <v>46.1</v>
      </c>
      <c r="J9" s="44">
        <f t="shared" si="0"/>
        <v>46.1</v>
      </c>
      <c r="K9" s="42">
        <v>10000</v>
      </c>
      <c r="L9" s="42">
        <f t="shared" si="1"/>
        <v>461000</v>
      </c>
      <c r="M9" s="42"/>
      <c r="N9" s="42"/>
      <c r="O9" s="100"/>
      <c r="P9" s="100"/>
      <c r="Q9" s="100"/>
      <c r="R9" s="100"/>
      <c r="S9" s="42"/>
      <c r="T9" s="12">
        <f t="shared" si="2"/>
        <v>0</v>
      </c>
      <c r="U9" s="45"/>
      <c r="V9" s="12">
        <f>+T9*0</f>
        <v>0</v>
      </c>
      <c r="W9" s="12">
        <f t="shared" si="3"/>
        <v>0</v>
      </c>
      <c r="X9" s="116"/>
      <c r="Y9" s="117">
        <f t="shared" si="4"/>
        <v>461000</v>
      </c>
      <c r="Z9" s="12"/>
      <c r="AA9" s="12">
        <f t="shared" si="5"/>
        <v>461000</v>
      </c>
      <c r="AB9" s="12">
        <v>0.3</v>
      </c>
      <c r="AC9" s="12">
        <f t="shared" si="6"/>
        <v>1383</v>
      </c>
      <c r="AD9" s="42"/>
      <c r="AE9" s="12"/>
    </row>
    <row r="10" spans="1:31" s="46" customFormat="1" ht="21">
      <c r="A10" s="42"/>
      <c r="B10" s="42"/>
      <c r="C10" s="45"/>
      <c r="D10" s="31"/>
      <c r="E10" s="31"/>
      <c r="F10" s="47"/>
      <c r="G10" s="42"/>
      <c r="H10" s="42"/>
      <c r="I10" s="44"/>
      <c r="J10" s="44">
        <f t="shared" si="0"/>
        <v>0</v>
      </c>
      <c r="K10" s="42"/>
      <c r="L10" s="42">
        <f t="shared" si="1"/>
        <v>0</v>
      </c>
      <c r="M10" s="42"/>
      <c r="N10" s="42"/>
      <c r="O10" s="100"/>
      <c r="P10" s="100"/>
      <c r="Q10" s="100"/>
      <c r="R10" s="100"/>
      <c r="S10" s="42"/>
      <c r="T10" s="12">
        <f t="shared" si="2"/>
        <v>0</v>
      </c>
      <c r="U10" s="45"/>
      <c r="V10" s="12">
        <f>+T10*0</f>
        <v>0</v>
      </c>
      <c r="W10" s="12">
        <f t="shared" si="3"/>
        <v>0</v>
      </c>
      <c r="X10" s="116"/>
      <c r="Y10" s="117">
        <f t="shared" si="4"/>
        <v>0</v>
      </c>
      <c r="Z10" s="12"/>
      <c r="AA10" s="12">
        <f t="shared" si="5"/>
        <v>0</v>
      </c>
      <c r="AB10" s="12"/>
      <c r="AC10" s="12">
        <f t="shared" si="6"/>
        <v>0</v>
      </c>
      <c r="AD10" s="42"/>
      <c r="AE10" s="12"/>
    </row>
    <row r="11" spans="1:31" s="46" customFormat="1" ht="21">
      <c r="A11" s="42"/>
      <c r="B11" s="42"/>
      <c r="C11" s="45"/>
      <c r="D11" s="31"/>
      <c r="E11" s="31"/>
      <c r="F11" s="47"/>
      <c r="G11" s="42"/>
      <c r="H11" s="42"/>
      <c r="I11" s="44"/>
      <c r="J11" s="44">
        <f t="shared" si="0"/>
        <v>0</v>
      </c>
      <c r="K11" s="42"/>
      <c r="L11" s="42">
        <f t="shared" si="1"/>
        <v>0</v>
      </c>
      <c r="M11" s="42"/>
      <c r="N11" s="42"/>
      <c r="O11" s="42"/>
      <c r="P11" s="42"/>
      <c r="Q11" s="42"/>
      <c r="R11" s="42"/>
      <c r="S11" s="42"/>
      <c r="T11" s="12">
        <f t="shared" si="2"/>
        <v>0</v>
      </c>
      <c r="U11" s="45"/>
      <c r="V11" s="12">
        <f>+T11*0</f>
        <v>0</v>
      </c>
      <c r="W11" s="12">
        <f t="shared" si="3"/>
        <v>0</v>
      </c>
      <c r="X11" s="116"/>
      <c r="Y11" s="117">
        <f t="shared" si="4"/>
        <v>0</v>
      </c>
      <c r="Z11" s="12"/>
      <c r="AA11" s="12">
        <f t="shared" si="5"/>
        <v>0</v>
      </c>
      <c r="AB11" s="12"/>
      <c r="AC11" s="12">
        <f t="shared" si="6"/>
        <v>0</v>
      </c>
      <c r="AD11" s="42"/>
      <c r="AE11" s="12"/>
    </row>
    <row r="12" spans="1:31" s="46" customFormat="1" ht="21">
      <c r="A12" s="42" t="s">
        <v>0</v>
      </c>
      <c r="B12" s="42" t="s">
        <v>1</v>
      </c>
      <c r="C12" s="45">
        <v>19075</v>
      </c>
      <c r="D12" s="31" t="s">
        <v>642</v>
      </c>
      <c r="E12" s="29" t="s">
        <v>907</v>
      </c>
      <c r="F12" s="47">
        <v>3</v>
      </c>
      <c r="G12" s="42"/>
      <c r="H12" s="42"/>
      <c r="I12" s="44">
        <v>12</v>
      </c>
      <c r="J12" s="44">
        <f>+I12+(H12*100)+(G12*400)</f>
        <v>12</v>
      </c>
      <c r="K12" s="42">
        <v>12000</v>
      </c>
      <c r="L12" s="42">
        <f t="shared" si="1"/>
        <v>144000</v>
      </c>
      <c r="M12" s="42"/>
      <c r="N12" s="42" t="s">
        <v>60</v>
      </c>
      <c r="O12" s="101" t="s">
        <v>446</v>
      </c>
      <c r="P12" s="101">
        <v>3</v>
      </c>
      <c r="Q12" s="100">
        <v>96</v>
      </c>
      <c r="R12" s="100"/>
      <c r="S12" s="42">
        <v>7550</v>
      </c>
      <c r="T12" s="12">
        <f t="shared" si="2"/>
        <v>724800</v>
      </c>
      <c r="U12" s="102" t="s">
        <v>84</v>
      </c>
      <c r="V12" s="12">
        <f>+T12*0.2</f>
        <v>144960</v>
      </c>
      <c r="W12" s="12">
        <f t="shared" si="3"/>
        <v>579840</v>
      </c>
      <c r="X12" s="116"/>
      <c r="Y12" s="117">
        <f t="shared" si="4"/>
        <v>723840</v>
      </c>
      <c r="Z12" s="12"/>
      <c r="AA12" s="12">
        <f t="shared" si="5"/>
        <v>723840</v>
      </c>
      <c r="AB12" s="12">
        <v>0.3</v>
      </c>
      <c r="AC12" s="12">
        <f t="shared" si="6"/>
        <v>2171.52</v>
      </c>
      <c r="AD12" s="42"/>
      <c r="AE12" s="12"/>
    </row>
    <row r="13" spans="1:31" s="46" customFormat="1" ht="21">
      <c r="A13" s="42"/>
      <c r="B13" s="42"/>
      <c r="C13" s="45"/>
      <c r="D13" s="31"/>
      <c r="E13" s="31"/>
      <c r="F13" s="47"/>
      <c r="G13" s="42"/>
      <c r="H13" s="42"/>
      <c r="I13" s="44"/>
      <c r="J13" s="44">
        <f>+I13+(H13*100)+(G13*400)</f>
        <v>0</v>
      </c>
      <c r="K13" s="42"/>
      <c r="L13" s="42">
        <f t="shared" si="1"/>
        <v>0</v>
      </c>
      <c r="M13" s="42"/>
      <c r="N13" s="42"/>
      <c r="O13" s="100"/>
      <c r="P13" s="100"/>
      <c r="Q13" s="100"/>
      <c r="R13" s="100"/>
      <c r="S13" s="42"/>
      <c r="T13" s="12">
        <f t="shared" si="2"/>
        <v>0</v>
      </c>
      <c r="U13" s="45"/>
      <c r="V13" s="12">
        <f>+T13*0</f>
        <v>0</v>
      </c>
      <c r="W13" s="12">
        <f t="shared" si="3"/>
        <v>0</v>
      </c>
      <c r="X13" s="116"/>
      <c r="Y13" s="117">
        <f t="shared" si="4"/>
        <v>0</v>
      </c>
      <c r="Z13" s="12"/>
      <c r="AA13" s="12">
        <f t="shared" si="5"/>
        <v>0</v>
      </c>
      <c r="AB13" s="12"/>
      <c r="AC13" s="12">
        <f t="shared" si="6"/>
        <v>0</v>
      </c>
      <c r="AD13" s="42"/>
      <c r="AE13" s="12"/>
    </row>
    <row r="14" spans="1:31" s="46" customFormat="1" ht="21">
      <c r="A14" s="42"/>
      <c r="B14" s="42"/>
      <c r="C14" s="45"/>
      <c r="D14" s="31"/>
      <c r="E14" s="31"/>
      <c r="F14" s="47"/>
      <c r="G14" s="42"/>
      <c r="H14" s="42"/>
      <c r="I14" s="44"/>
      <c r="J14" s="44">
        <f t="shared" si="0"/>
        <v>0</v>
      </c>
      <c r="K14" s="42"/>
      <c r="L14" s="42">
        <f t="shared" si="1"/>
        <v>0</v>
      </c>
      <c r="M14" s="42"/>
      <c r="N14" s="42"/>
      <c r="O14" s="42"/>
      <c r="P14" s="42"/>
      <c r="Q14" s="42"/>
      <c r="R14" s="42"/>
      <c r="S14" s="42"/>
      <c r="T14" s="12">
        <f t="shared" si="2"/>
        <v>0</v>
      </c>
      <c r="U14" s="45"/>
      <c r="V14" s="12">
        <f>+T14*0</f>
        <v>0</v>
      </c>
      <c r="W14" s="12">
        <f t="shared" si="3"/>
        <v>0</v>
      </c>
      <c r="X14" s="116"/>
      <c r="Y14" s="117">
        <f t="shared" si="4"/>
        <v>0</v>
      </c>
      <c r="Z14" s="12"/>
      <c r="AA14" s="12">
        <f t="shared" si="5"/>
        <v>0</v>
      </c>
      <c r="AB14" s="12"/>
      <c r="AC14" s="12">
        <f t="shared" si="6"/>
        <v>0</v>
      </c>
      <c r="AD14" s="42"/>
      <c r="AE14" s="12"/>
    </row>
  </sheetData>
  <sheetProtection/>
  <mergeCells count="7">
    <mergeCell ref="AA1:AB1"/>
    <mergeCell ref="G4:I4"/>
    <mergeCell ref="G2:L2"/>
    <mergeCell ref="M2:W2"/>
    <mergeCell ref="G3:I3"/>
    <mergeCell ref="U3:V3"/>
    <mergeCell ref="A1:Z1"/>
  </mergeCells>
  <printOptions/>
  <pageMargins left="0.31496062992125984" right="0.31496062992125984" top="0.7480314960629921" bottom="1.5748031496062993" header="0.31496062992125984" footer="0.31496062992125984"/>
  <pageSetup orientation="landscape" paperSize="5" scale="80" r:id="rId1"/>
  <headerFooter>
    <oddFooter>&amp;Cฆ..หน้าที่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view="pageBreakPreview" zoomScaleSheetLayoutView="100" zoomScalePageLayoutView="0" workbookViewId="0" topLeftCell="A4">
      <selection activeCell="C19" sqref="C19"/>
    </sheetView>
  </sheetViews>
  <sheetFormatPr defaultColWidth="9.140625" defaultRowHeight="15"/>
  <cols>
    <col min="1" max="1" width="5.28125" style="1" customWidth="1"/>
    <col min="2" max="2" width="20.7109375" style="1" customWidth="1"/>
    <col min="3" max="3" width="9.00390625" style="2" customWidth="1"/>
    <col min="4" max="4" width="11.8515625" style="2" customWidth="1"/>
    <col min="5" max="5" width="12.8515625" style="2" customWidth="1"/>
    <col min="6" max="6" width="11.7109375" style="2" customWidth="1"/>
    <col min="7" max="7" width="13.57421875" style="1" customWidth="1"/>
    <col min="8" max="8" width="12.7109375" style="1" customWidth="1"/>
    <col min="9" max="9" width="14.7109375" style="1" customWidth="1"/>
    <col min="10" max="10" width="15.140625" style="1" customWidth="1"/>
    <col min="11" max="11" width="11.7109375" style="1" customWidth="1"/>
    <col min="12" max="12" width="9.00390625" style="1" customWidth="1"/>
    <col min="13" max="13" width="0" style="1" hidden="1" customWidth="1"/>
    <col min="14" max="15" width="9.00390625" style="1" customWidth="1"/>
  </cols>
  <sheetData>
    <row r="1" spans="1:15" ht="21">
      <c r="A1" s="162" t="s">
        <v>1870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" t="s">
        <v>1871</v>
      </c>
      <c r="O1"/>
    </row>
    <row r="2" spans="8:15" ht="21">
      <c r="H2" s="2"/>
      <c r="I2" s="133"/>
      <c r="J2" s="133"/>
      <c r="O2"/>
    </row>
    <row r="3" spans="1:14" s="17" customFormat="1" ht="21">
      <c r="A3" s="14"/>
      <c r="B3" s="15"/>
      <c r="C3" s="16"/>
      <c r="D3" s="15"/>
      <c r="E3" s="16"/>
      <c r="F3" s="15"/>
      <c r="G3" s="16"/>
      <c r="H3" s="15"/>
      <c r="I3" s="134"/>
      <c r="J3" s="135"/>
      <c r="K3" s="16" t="s">
        <v>54</v>
      </c>
      <c r="L3" s="15"/>
      <c r="M3" s="128"/>
      <c r="N3" s="128"/>
    </row>
    <row r="4" spans="1:14" s="17" customFormat="1" ht="21">
      <c r="A4" s="18" t="s">
        <v>38</v>
      </c>
      <c r="B4" s="19" t="s">
        <v>45</v>
      </c>
      <c r="C4" s="127" t="s">
        <v>46</v>
      </c>
      <c r="D4" s="19" t="s">
        <v>1872</v>
      </c>
      <c r="E4" s="127" t="s">
        <v>41</v>
      </c>
      <c r="F4" s="19" t="s">
        <v>50</v>
      </c>
      <c r="G4" s="127" t="s">
        <v>51</v>
      </c>
      <c r="H4" s="19" t="s">
        <v>31</v>
      </c>
      <c r="I4" s="136" t="s">
        <v>31</v>
      </c>
      <c r="J4" s="137" t="s">
        <v>52</v>
      </c>
      <c r="K4" s="127" t="s">
        <v>24</v>
      </c>
      <c r="L4" s="19" t="s">
        <v>55</v>
      </c>
      <c r="M4" s="128"/>
      <c r="N4" s="128"/>
    </row>
    <row r="5" spans="1:14" s="17" customFormat="1" ht="21">
      <c r="A5" s="18"/>
      <c r="B5" s="19"/>
      <c r="C5" s="127" t="s">
        <v>47</v>
      </c>
      <c r="D5" s="19"/>
      <c r="E5" s="127" t="s">
        <v>49</v>
      </c>
      <c r="F5" s="19"/>
      <c r="G5" s="127" t="s">
        <v>14</v>
      </c>
      <c r="H5" s="19" t="s">
        <v>13</v>
      </c>
      <c r="I5" s="136" t="s">
        <v>48</v>
      </c>
      <c r="J5" s="137" t="s">
        <v>53</v>
      </c>
      <c r="K5" s="127" t="s">
        <v>19</v>
      </c>
      <c r="L5" s="19" t="s">
        <v>4</v>
      </c>
      <c r="M5" s="128"/>
      <c r="N5" s="128"/>
    </row>
    <row r="6" spans="1:14" s="17" customFormat="1" ht="21">
      <c r="A6" s="18"/>
      <c r="B6" s="19"/>
      <c r="C6" s="127"/>
      <c r="D6" s="19"/>
      <c r="E6" s="127"/>
      <c r="F6" s="19"/>
      <c r="G6" s="127"/>
      <c r="H6" s="19" t="s">
        <v>3</v>
      </c>
      <c r="I6" s="136" t="s">
        <v>3</v>
      </c>
      <c r="J6" s="137" t="s">
        <v>3</v>
      </c>
      <c r="K6" s="127" t="s">
        <v>1873</v>
      </c>
      <c r="L6" s="19"/>
      <c r="M6" s="128"/>
      <c r="N6" s="128"/>
    </row>
    <row r="7" spans="1:14" s="17" customFormat="1" ht="21">
      <c r="A7" s="20"/>
      <c r="B7" s="21"/>
      <c r="C7" s="22"/>
      <c r="D7" s="21"/>
      <c r="E7" s="22"/>
      <c r="F7" s="21"/>
      <c r="G7" s="22"/>
      <c r="H7" s="21"/>
      <c r="I7" s="138"/>
      <c r="J7" s="139"/>
      <c r="K7" s="22" t="s">
        <v>3</v>
      </c>
      <c r="L7" s="21"/>
      <c r="M7" s="128"/>
      <c r="N7" s="128"/>
    </row>
    <row r="8" spans="1:13" ht="21">
      <c r="A8" s="4"/>
      <c r="B8" s="4" t="s">
        <v>1833</v>
      </c>
      <c r="C8" s="23" t="s">
        <v>1834</v>
      </c>
      <c r="D8" s="24" t="s">
        <v>907</v>
      </c>
      <c r="E8" s="24">
        <v>2</v>
      </c>
      <c r="F8" s="24" t="s">
        <v>1835</v>
      </c>
      <c r="G8" s="4">
        <v>57.21</v>
      </c>
      <c r="H8" s="8">
        <v>53600</v>
      </c>
      <c r="I8" s="8">
        <f>+G8*H8</f>
        <v>3066456</v>
      </c>
      <c r="J8" s="8"/>
      <c r="K8" s="8">
        <f>+I8-J8</f>
        <v>3066456</v>
      </c>
      <c r="L8" s="9">
        <v>0.02</v>
      </c>
      <c r="M8" s="9"/>
    </row>
    <row r="9" spans="1:13" ht="21">
      <c r="A9" s="4"/>
      <c r="B9" s="4"/>
      <c r="C9" s="24"/>
      <c r="D9" s="24"/>
      <c r="E9" s="24" t="s">
        <v>2</v>
      </c>
      <c r="F9" s="24"/>
      <c r="G9" s="4"/>
      <c r="H9" s="140" t="s">
        <v>1845</v>
      </c>
      <c r="I9" s="4"/>
      <c r="J9" s="4"/>
      <c r="K9" s="4"/>
      <c r="L9" s="4"/>
      <c r="M9" s="4"/>
    </row>
    <row r="10" spans="1:13" ht="21">
      <c r="A10" s="4"/>
      <c r="B10" s="4"/>
      <c r="C10" s="24"/>
      <c r="D10" s="24"/>
      <c r="E10" s="24"/>
      <c r="F10" s="24"/>
      <c r="G10" s="4"/>
      <c r="H10" s="4"/>
      <c r="I10" s="4"/>
      <c r="J10" s="4"/>
      <c r="K10" s="4"/>
      <c r="L10" s="4"/>
      <c r="M10" s="4"/>
    </row>
    <row r="11" spans="1:13" ht="21">
      <c r="A11" s="4"/>
      <c r="B11" s="25" t="s">
        <v>1842</v>
      </c>
      <c r="C11" s="26" t="s">
        <v>1843</v>
      </c>
      <c r="D11" s="24" t="s">
        <v>907</v>
      </c>
      <c r="E11" s="24">
        <v>3</v>
      </c>
      <c r="F11" s="24" t="s">
        <v>1844</v>
      </c>
      <c r="G11" s="4">
        <v>28.71</v>
      </c>
      <c r="H11" s="8">
        <v>53600</v>
      </c>
      <c r="I11" s="8">
        <f>+G11*H11</f>
        <v>1538856</v>
      </c>
      <c r="J11" s="8">
        <f>+I11</f>
        <v>1538856</v>
      </c>
      <c r="K11" s="8">
        <f>+I11-J11</f>
        <v>0</v>
      </c>
      <c r="L11" s="9"/>
      <c r="M11" s="9"/>
    </row>
    <row r="12" spans="1:13" ht="21">
      <c r="A12" s="4"/>
      <c r="B12" s="4"/>
      <c r="C12" s="24"/>
      <c r="D12" s="24"/>
      <c r="E12" s="24" t="s">
        <v>2</v>
      </c>
      <c r="F12" s="24"/>
      <c r="G12" s="4"/>
      <c r="H12" s="140" t="s">
        <v>1845</v>
      </c>
      <c r="I12" s="8"/>
      <c r="J12" s="8"/>
      <c r="K12" s="8"/>
      <c r="L12" s="9"/>
      <c r="M12" s="9"/>
    </row>
    <row r="13" spans="1:13" ht="21">
      <c r="A13" s="4"/>
      <c r="B13" s="4"/>
      <c r="C13" s="24"/>
      <c r="D13" s="24"/>
      <c r="E13" s="24"/>
      <c r="F13" s="24"/>
      <c r="G13" s="4"/>
      <c r="H13" s="4"/>
      <c r="I13" s="4"/>
      <c r="J13" s="4"/>
      <c r="K13" s="4"/>
      <c r="L13" s="4"/>
      <c r="M13" s="4"/>
    </row>
    <row r="14" spans="1:13" ht="21">
      <c r="A14" s="4"/>
      <c r="B14" s="25" t="s">
        <v>1842</v>
      </c>
      <c r="C14" s="26" t="s">
        <v>1843</v>
      </c>
      <c r="D14" s="24" t="s">
        <v>907</v>
      </c>
      <c r="E14" s="24">
        <v>3</v>
      </c>
      <c r="F14" s="24" t="s">
        <v>1846</v>
      </c>
      <c r="G14" s="4">
        <v>28.77</v>
      </c>
      <c r="H14" s="8">
        <v>50400</v>
      </c>
      <c r="I14" s="8">
        <f>+G14*H14</f>
        <v>1450008</v>
      </c>
      <c r="J14" s="8"/>
      <c r="K14" s="8">
        <f>+I14-J14</f>
        <v>1450008</v>
      </c>
      <c r="L14" s="9">
        <v>0.02</v>
      </c>
      <c r="M14" s="9">
        <f>+K14*(L14/100)</f>
        <v>290.0016</v>
      </c>
    </row>
    <row r="15" spans="1:13" ht="21">
      <c r="A15" s="4"/>
      <c r="B15" s="4"/>
      <c r="C15" s="24"/>
      <c r="D15" s="24"/>
      <c r="E15" s="24" t="s">
        <v>2</v>
      </c>
      <c r="F15" s="24"/>
      <c r="G15" s="4"/>
      <c r="H15" s="8" t="s">
        <v>1847</v>
      </c>
      <c r="I15" s="8"/>
      <c r="J15" s="8"/>
      <c r="K15" s="8"/>
      <c r="L15" s="9"/>
      <c r="M15" s="9"/>
    </row>
    <row r="16" spans="1:13" ht="21">
      <c r="A16" s="4"/>
      <c r="B16" s="4"/>
      <c r="C16" s="24"/>
      <c r="D16" s="24"/>
      <c r="E16" s="24"/>
      <c r="F16" s="24"/>
      <c r="G16" s="4"/>
      <c r="H16" s="4"/>
      <c r="I16" s="4"/>
      <c r="J16" s="4"/>
      <c r="K16" s="4"/>
      <c r="L16" s="4"/>
      <c r="M16" s="4"/>
    </row>
    <row r="17" spans="1:13" ht="21">
      <c r="A17" s="4"/>
      <c r="B17" s="4" t="s">
        <v>1848</v>
      </c>
      <c r="C17" s="26" t="s">
        <v>1849</v>
      </c>
      <c r="D17" s="24" t="s">
        <v>907</v>
      </c>
      <c r="E17" s="24">
        <v>3</v>
      </c>
      <c r="F17" s="24" t="s">
        <v>1850</v>
      </c>
      <c r="G17" s="4">
        <v>27.45</v>
      </c>
      <c r="H17" s="8">
        <v>51600</v>
      </c>
      <c r="I17" s="8">
        <f>+G17*H17</f>
        <v>1416420</v>
      </c>
      <c r="J17" s="8">
        <f>+I17</f>
        <v>1416420</v>
      </c>
      <c r="K17" s="8">
        <f>+I17-J17</f>
        <v>0</v>
      </c>
      <c r="L17" s="9"/>
      <c r="M17" s="9"/>
    </row>
    <row r="18" spans="1:13" ht="21">
      <c r="A18" s="4"/>
      <c r="B18" s="4"/>
      <c r="C18" s="24"/>
      <c r="D18" s="24"/>
      <c r="E18" s="24" t="s">
        <v>2</v>
      </c>
      <c r="F18" s="24"/>
      <c r="G18" s="4"/>
      <c r="H18" s="8" t="s">
        <v>1851</v>
      </c>
      <c r="I18" s="8"/>
      <c r="J18" s="8"/>
      <c r="K18" s="8"/>
      <c r="L18" s="9"/>
      <c r="M18" s="9"/>
    </row>
    <row r="19" spans="1:13" ht="21">
      <c r="A19" s="4"/>
      <c r="B19" s="4"/>
      <c r="C19" s="24"/>
      <c r="D19" s="24"/>
      <c r="E19" s="24"/>
      <c r="F19" s="24"/>
      <c r="G19" s="4"/>
      <c r="H19" s="4"/>
      <c r="I19" s="4"/>
      <c r="J19" s="4"/>
      <c r="K19" s="4"/>
      <c r="L19" s="4"/>
      <c r="M19" s="4"/>
    </row>
    <row r="20" spans="1:13" ht="21">
      <c r="A20" s="4"/>
      <c r="B20" s="25" t="s">
        <v>1842</v>
      </c>
      <c r="C20" s="26" t="s">
        <v>1843</v>
      </c>
      <c r="D20" s="24" t="s">
        <v>907</v>
      </c>
      <c r="E20" s="24">
        <v>3</v>
      </c>
      <c r="F20" s="24" t="s">
        <v>1852</v>
      </c>
      <c r="G20" s="4">
        <v>28.91</v>
      </c>
      <c r="H20" s="8">
        <v>48900</v>
      </c>
      <c r="I20" s="8">
        <f>+G20*H20</f>
        <v>1413699</v>
      </c>
      <c r="J20" s="8"/>
      <c r="K20" s="8">
        <f>+I20-J20</f>
        <v>1413699</v>
      </c>
      <c r="L20" s="9">
        <v>0.02</v>
      </c>
      <c r="M20" s="9">
        <f>+K20*(L20/100)</f>
        <v>282.7398</v>
      </c>
    </row>
    <row r="21" spans="1:13" ht="21">
      <c r="A21" s="4"/>
      <c r="B21" s="4"/>
      <c r="C21" s="24"/>
      <c r="D21" s="24"/>
      <c r="E21" s="24" t="s">
        <v>2</v>
      </c>
      <c r="F21" s="24"/>
      <c r="G21" s="4"/>
      <c r="H21" s="8" t="s">
        <v>1853</v>
      </c>
      <c r="I21" s="8"/>
      <c r="J21" s="8"/>
      <c r="K21" s="8"/>
      <c r="L21" s="9"/>
      <c r="M21" s="9"/>
    </row>
    <row r="22" spans="1:13" ht="21">
      <c r="A22" s="4"/>
      <c r="B22" s="4"/>
      <c r="C22" s="24"/>
      <c r="D22" s="24"/>
      <c r="E22" s="24"/>
      <c r="F22" s="24"/>
      <c r="G22" s="4"/>
      <c r="H22" s="4"/>
      <c r="I22" s="4"/>
      <c r="J22" s="4"/>
      <c r="K22" s="4"/>
      <c r="L22" s="4"/>
      <c r="M22" s="4"/>
    </row>
    <row r="23" spans="1:13" ht="21">
      <c r="A23" s="4"/>
      <c r="B23" s="4"/>
      <c r="C23" s="24"/>
      <c r="D23" s="24"/>
      <c r="E23" s="24"/>
      <c r="F23" s="24"/>
      <c r="G23" s="4"/>
      <c r="H23" s="4"/>
      <c r="I23" s="4"/>
      <c r="J23" s="4"/>
      <c r="K23" s="4"/>
      <c r="L23" s="4"/>
      <c r="M23" s="4"/>
    </row>
    <row r="24" spans="1:13" ht="21">
      <c r="A24" s="4"/>
      <c r="B24" s="4"/>
      <c r="C24" s="24"/>
      <c r="D24" s="24"/>
      <c r="E24" s="24"/>
      <c r="F24" s="24"/>
      <c r="G24" s="4"/>
      <c r="H24" s="4"/>
      <c r="I24" s="4"/>
      <c r="J24" s="4"/>
      <c r="K24" s="4"/>
      <c r="L24" s="4"/>
      <c r="M24" s="4"/>
    </row>
    <row r="25" spans="1:13" ht="21">
      <c r="A25" s="4"/>
      <c r="B25" s="4"/>
      <c r="C25" s="24"/>
      <c r="D25" s="24"/>
      <c r="E25" s="24"/>
      <c r="F25" s="24"/>
      <c r="G25" s="4"/>
      <c r="H25" s="4"/>
      <c r="I25" s="4"/>
      <c r="J25" s="4"/>
      <c r="K25" s="4"/>
      <c r="L25" s="4"/>
      <c r="M25" s="4"/>
    </row>
    <row r="26" spans="1:13" ht="21">
      <c r="A26" s="4"/>
      <c r="B26" s="4"/>
      <c r="C26" s="24"/>
      <c r="D26" s="24"/>
      <c r="E26" s="24"/>
      <c r="F26" s="24"/>
      <c r="G26" s="4"/>
      <c r="H26" s="4"/>
      <c r="I26" s="4"/>
      <c r="J26" s="4"/>
      <c r="K26" s="4"/>
      <c r="L26" s="4"/>
      <c r="M26" s="4"/>
    </row>
    <row r="27" spans="1:13" ht="21">
      <c r="A27" s="4"/>
      <c r="B27" s="4"/>
      <c r="C27" s="24"/>
      <c r="D27" s="24"/>
      <c r="E27" s="24"/>
      <c r="F27" s="24"/>
      <c r="G27" s="4"/>
      <c r="H27" s="4"/>
      <c r="I27" s="8">
        <f>+G27*H27</f>
        <v>0</v>
      </c>
      <c r="J27" s="8">
        <f>+I27</f>
        <v>0</v>
      </c>
      <c r="K27" s="8">
        <f>+I27-J27</f>
        <v>0</v>
      </c>
      <c r="L27" s="4"/>
      <c r="M27" s="4"/>
    </row>
    <row r="28" spans="1:13" ht="21">
      <c r="A28" s="4"/>
      <c r="B28" s="4"/>
      <c r="C28" s="24"/>
      <c r="D28" s="24"/>
      <c r="E28" s="24"/>
      <c r="F28" s="24"/>
      <c r="G28" s="4"/>
      <c r="H28" s="4"/>
      <c r="I28" s="4"/>
      <c r="J28" s="4"/>
      <c r="K28" s="4"/>
      <c r="L28" s="4"/>
      <c r="M28" s="4"/>
    </row>
    <row r="29" spans="1:13" ht="21">
      <c r="A29" s="4"/>
      <c r="B29" s="4"/>
      <c r="C29" s="24"/>
      <c r="D29" s="24"/>
      <c r="E29" s="24"/>
      <c r="F29" s="24"/>
      <c r="G29" s="4"/>
      <c r="H29" s="4"/>
      <c r="I29" s="4"/>
      <c r="J29" s="4"/>
      <c r="K29" s="4"/>
      <c r="L29" s="4"/>
      <c r="M29" s="4"/>
    </row>
    <row r="30" spans="1:13" ht="21">
      <c r="A30" s="4"/>
      <c r="B30" s="4"/>
      <c r="C30" s="24"/>
      <c r="D30" s="24"/>
      <c r="E30" s="24"/>
      <c r="F30" s="24"/>
      <c r="G30" s="4"/>
      <c r="H30" s="4"/>
      <c r="I30" s="4"/>
      <c r="J30" s="4"/>
      <c r="K30" s="4"/>
      <c r="L30" s="4"/>
      <c r="M30" s="4"/>
    </row>
    <row r="31" spans="1:13" ht="21">
      <c r="A31" s="4"/>
      <c r="B31" s="4"/>
      <c r="C31" s="24"/>
      <c r="D31" s="24"/>
      <c r="E31" s="24"/>
      <c r="F31" s="24"/>
      <c r="G31" s="4"/>
      <c r="H31" s="4"/>
      <c r="I31" s="4"/>
      <c r="J31" s="4"/>
      <c r="K31" s="4"/>
      <c r="L31" s="4"/>
      <c r="M31" s="4"/>
    </row>
    <row r="32" spans="1:13" ht="21">
      <c r="A32" s="4"/>
      <c r="B32" s="4"/>
      <c r="C32" s="24"/>
      <c r="D32" s="24"/>
      <c r="E32" s="24"/>
      <c r="F32" s="24"/>
      <c r="G32" s="4"/>
      <c r="H32" s="4"/>
      <c r="I32" s="4"/>
      <c r="J32" s="4"/>
      <c r="K32" s="4"/>
      <c r="L32" s="4"/>
      <c r="M32" s="4"/>
    </row>
    <row r="33" spans="1:13" ht="21">
      <c r="A33" s="4"/>
      <c r="B33" s="4"/>
      <c r="C33" s="24"/>
      <c r="D33" s="24"/>
      <c r="E33" s="24"/>
      <c r="F33" s="24"/>
      <c r="G33" s="4"/>
      <c r="H33" s="4"/>
      <c r="I33" s="4"/>
      <c r="J33" s="4"/>
      <c r="K33" s="4"/>
      <c r="L33" s="4"/>
      <c r="M33" s="4"/>
    </row>
    <row r="34" spans="1:13" ht="21">
      <c r="A34" s="4"/>
      <c r="B34" s="4"/>
      <c r="C34" s="24"/>
      <c r="D34" s="24"/>
      <c r="E34" s="24"/>
      <c r="F34" s="24"/>
      <c r="G34" s="4"/>
      <c r="H34" s="4"/>
      <c r="I34" s="8">
        <f>+G34*H34</f>
        <v>0</v>
      </c>
      <c r="J34" s="8">
        <f>+I34</f>
        <v>0</v>
      </c>
      <c r="K34" s="8">
        <f>+I34-J34</f>
        <v>0</v>
      </c>
      <c r="L34" s="4"/>
      <c r="M34" s="4"/>
    </row>
    <row r="35" spans="1:13" ht="21">
      <c r="A35" s="4"/>
      <c r="B35" s="4"/>
      <c r="C35" s="24"/>
      <c r="D35" s="24"/>
      <c r="E35" s="24"/>
      <c r="F35" s="24"/>
      <c r="G35" s="4"/>
      <c r="H35" s="4"/>
      <c r="I35" s="4"/>
      <c r="J35" s="4"/>
      <c r="K35" s="4"/>
      <c r="L35" s="4"/>
      <c r="M35" s="4"/>
    </row>
    <row r="36" spans="1:13" ht="21">
      <c r="A36" s="4"/>
      <c r="B36" s="4"/>
      <c r="C36" s="24"/>
      <c r="D36" s="24"/>
      <c r="E36" s="24"/>
      <c r="F36" s="24"/>
      <c r="G36" s="4"/>
      <c r="H36" s="4"/>
      <c r="I36" s="4"/>
      <c r="J36" s="4"/>
      <c r="K36" s="4"/>
      <c r="L36" s="4"/>
      <c r="M36" s="4"/>
    </row>
    <row r="37" spans="1:13" ht="21">
      <c r="A37" s="4"/>
      <c r="B37" s="4"/>
      <c r="C37" s="24"/>
      <c r="D37" s="24"/>
      <c r="E37" s="24"/>
      <c r="F37" s="24"/>
      <c r="G37" s="4"/>
      <c r="H37" s="4"/>
      <c r="I37" s="4"/>
      <c r="J37" s="4"/>
      <c r="K37" s="4"/>
      <c r="L37" s="4"/>
      <c r="M37" s="4"/>
    </row>
    <row r="38" spans="1:13" ht="21">
      <c r="A38" s="4"/>
      <c r="B38" s="4"/>
      <c r="C38" s="24"/>
      <c r="D38" s="24"/>
      <c r="E38" s="24"/>
      <c r="F38" s="24"/>
      <c r="G38" s="4"/>
      <c r="H38" s="4"/>
      <c r="I38" s="4"/>
      <c r="J38" s="4"/>
      <c r="K38" s="4"/>
      <c r="L38" s="4"/>
      <c r="M38" s="4"/>
    </row>
    <row r="39" spans="1:13" ht="21">
      <c r="A39" s="4"/>
      <c r="B39" s="4"/>
      <c r="C39" s="24"/>
      <c r="D39" s="24"/>
      <c r="E39" s="24"/>
      <c r="F39" s="24"/>
      <c r="G39" s="4"/>
      <c r="H39" s="4"/>
      <c r="I39" s="4"/>
      <c r="J39" s="4"/>
      <c r="K39" s="4"/>
      <c r="L39" s="4"/>
      <c r="M39" s="4"/>
    </row>
    <row r="40" spans="1:13" ht="21">
      <c r="A40" s="4"/>
      <c r="B40" s="4"/>
      <c r="C40" s="24"/>
      <c r="D40" s="24"/>
      <c r="E40" s="24"/>
      <c r="F40" s="24"/>
      <c r="G40" s="4"/>
      <c r="H40" s="4"/>
      <c r="I40" s="4"/>
      <c r="J40" s="4"/>
      <c r="K40" s="4"/>
      <c r="L40" s="4"/>
      <c r="M40" s="4"/>
    </row>
    <row r="41" spans="1:13" ht="21">
      <c r="A41" s="4"/>
      <c r="B41" s="4"/>
      <c r="C41" s="24"/>
      <c r="D41" s="24"/>
      <c r="E41" s="24"/>
      <c r="F41" s="24"/>
      <c r="G41" s="4"/>
      <c r="H41" s="4"/>
      <c r="I41" s="8">
        <f>+G41*H41</f>
        <v>0</v>
      </c>
      <c r="J41" s="8">
        <f>+I41</f>
        <v>0</v>
      </c>
      <c r="K41" s="8">
        <f>+I41-J41</f>
        <v>0</v>
      </c>
      <c r="L41" s="4"/>
      <c r="M41" s="4"/>
    </row>
    <row r="42" spans="1:13" ht="21">
      <c r="A42" s="4"/>
      <c r="B42" s="4"/>
      <c r="C42" s="24"/>
      <c r="D42" s="24"/>
      <c r="E42" s="24"/>
      <c r="F42" s="24"/>
      <c r="G42" s="4"/>
      <c r="H42" s="4"/>
      <c r="I42" s="4"/>
      <c r="J42" s="4"/>
      <c r="K42" s="4"/>
      <c r="L42" s="4"/>
      <c r="M42" s="4"/>
    </row>
    <row r="43" spans="1:13" ht="21">
      <c r="A43" s="4"/>
      <c r="B43" s="4"/>
      <c r="C43" s="24"/>
      <c r="D43" s="24"/>
      <c r="E43" s="24"/>
      <c r="F43" s="24"/>
      <c r="G43" s="4"/>
      <c r="H43" s="4"/>
      <c r="I43" s="4"/>
      <c r="J43" s="4"/>
      <c r="K43" s="4"/>
      <c r="L43" s="4"/>
      <c r="M43" s="4"/>
    </row>
    <row r="44" spans="1:13" ht="21">
      <c r="A44" s="4"/>
      <c r="B44" s="4"/>
      <c r="C44" s="24"/>
      <c r="D44" s="24"/>
      <c r="E44" s="24"/>
      <c r="F44" s="24"/>
      <c r="G44" s="4"/>
      <c r="H44" s="4"/>
      <c r="I44" s="4"/>
      <c r="J44" s="4"/>
      <c r="K44" s="4"/>
      <c r="L44" s="4"/>
      <c r="M44" s="4"/>
    </row>
    <row r="45" spans="1:13" ht="21">
      <c r="A45" s="4"/>
      <c r="B45" s="4"/>
      <c r="C45" s="24"/>
      <c r="D45" s="24"/>
      <c r="E45" s="24"/>
      <c r="F45" s="24"/>
      <c r="G45" s="4"/>
      <c r="H45" s="4"/>
      <c r="I45" s="4"/>
      <c r="J45" s="4"/>
      <c r="K45" s="4"/>
      <c r="L45" s="4"/>
      <c r="M45" s="4"/>
    </row>
    <row r="46" spans="1:13" ht="21">
      <c r="A46" s="4"/>
      <c r="B46" s="4"/>
      <c r="C46" s="24"/>
      <c r="D46" s="24"/>
      <c r="E46" s="24"/>
      <c r="F46" s="24"/>
      <c r="G46" s="4"/>
      <c r="H46" s="4"/>
      <c r="I46" s="4"/>
      <c r="J46" s="4"/>
      <c r="K46" s="4"/>
      <c r="L46" s="4"/>
      <c r="M46" s="4"/>
    </row>
    <row r="47" spans="1:13" ht="21">
      <c r="A47" s="4"/>
      <c r="B47" s="4"/>
      <c r="C47" s="24"/>
      <c r="D47" s="24"/>
      <c r="E47" s="24"/>
      <c r="F47" s="24"/>
      <c r="G47" s="4"/>
      <c r="H47" s="4"/>
      <c r="I47" s="4"/>
      <c r="J47" s="4"/>
      <c r="K47" s="4"/>
      <c r="L47" s="4"/>
      <c r="M47" s="4"/>
    </row>
    <row r="48" spans="1:13" ht="21">
      <c r="A48" s="4"/>
      <c r="B48" s="4"/>
      <c r="C48" s="24"/>
      <c r="D48" s="24"/>
      <c r="E48" s="24"/>
      <c r="F48" s="24"/>
      <c r="G48" s="4"/>
      <c r="H48" s="4"/>
      <c r="I48" s="4"/>
      <c r="J48" s="4"/>
      <c r="K48" s="4"/>
      <c r="L48" s="4"/>
      <c r="M48" s="4"/>
    </row>
    <row r="49" spans="1:13" ht="21">
      <c r="A49" s="4"/>
      <c r="B49" s="4"/>
      <c r="C49" s="24"/>
      <c r="D49" s="24"/>
      <c r="E49" s="24"/>
      <c r="F49" s="24"/>
      <c r="G49" s="4"/>
      <c r="H49" s="4"/>
      <c r="I49" s="4"/>
      <c r="J49" s="4"/>
      <c r="K49" s="4"/>
      <c r="L49" s="4"/>
      <c r="M49" s="4"/>
    </row>
    <row r="50" spans="1:13" ht="21">
      <c r="A50" s="4"/>
      <c r="B50" s="4"/>
      <c r="C50" s="24"/>
      <c r="D50" s="24"/>
      <c r="E50" s="24"/>
      <c r="F50" s="24"/>
      <c r="G50" s="4"/>
      <c r="H50" s="4"/>
      <c r="I50" s="4"/>
      <c r="J50" s="4"/>
      <c r="K50" s="4"/>
      <c r="L50" s="4"/>
      <c r="M50" s="4"/>
    </row>
    <row r="51" spans="1:13" ht="21">
      <c r="A51" s="4"/>
      <c r="B51" s="4"/>
      <c r="C51" s="24"/>
      <c r="D51" s="24"/>
      <c r="E51" s="24"/>
      <c r="F51" s="24"/>
      <c r="G51" s="4"/>
      <c r="H51" s="4"/>
      <c r="I51" s="4"/>
      <c r="J51" s="4"/>
      <c r="K51" s="4"/>
      <c r="L51" s="4"/>
      <c r="M51" s="4"/>
    </row>
    <row r="52" spans="1:13" ht="21">
      <c r="A52" s="4"/>
      <c r="B52" s="4"/>
      <c r="C52" s="24"/>
      <c r="D52" s="24"/>
      <c r="E52" s="24"/>
      <c r="F52" s="24"/>
      <c r="G52" s="4"/>
      <c r="H52" s="4"/>
      <c r="I52" s="4"/>
      <c r="J52" s="4"/>
      <c r="K52" s="4"/>
      <c r="L52" s="4"/>
      <c r="M52" s="4"/>
    </row>
    <row r="53" spans="1:13" ht="21">
      <c r="A53" s="4"/>
      <c r="B53" s="4"/>
      <c r="C53" s="24"/>
      <c r="D53" s="24"/>
      <c r="E53" s="24"/>
      <c r="F53" s="24"/>
      <c r="G53" s="4"/>
      <c r="H53" s="4"/>
      <c r="I53" s="4"/>
      <c r="J53" s="4"/>
      <c r="K53" s="4"/>
      <c r="L53" s="4"/>
      <c r="M53" s="4"/>
    </row>
    <row r="54" spans="1:13" ht="21">
      <c r="A54" s="4"/>
      <c r="B54" s="4"/>
      <c r="C54" s="24"/>
      <c r="D54" s="24"/>
      <c r="E54" s="24"/>
      <c r="F54" s="24"/>
      <c r="G54" s="4"/>
      <c r="H54" s="4"/>
      <c r="I54" s="4"/>
      <c r="J54" s="4"/>
      <c r="K54" s="4"/>
      <c r="L54" s="4"/>
      <c r="M54" s="4"/>
    </row>
    <row r="55" spans="1:13" ht="21">
      <c r="A55" s="4"/>
      <c r="B55" s="4"/>
      <c r="C55" s="24"/>
      <c r="D55" s="24"/>
      <c r="E55" s="24"/>
      <c r="F55" s="24"/>
      <c r="G55" s="4"/>
      <c r="H55" s="4"/>
      <c r="I55" s="4"/>
      <c r="J55" s="4"/>
      <c r="K55" s="4"/>
      <c r="L55" s="4"/>
      <c r="M55" s="4"/>
    </row>
    <row r="56" spans="1:13" ht="21">
      <c r="A56" s="4"/>
      <c r="B56" s="4"/>
      <c r="C56" s="24"/>
      <c r="D56" s="24"/>
      <c r="E56" s="24"/>
      <c r="F56" s="24"/>
      <c r="G56" s="4"/>
      <c r="H56" s="4"/>
      <c r="I56" s="4"/>
      <c r="J56" s="4"/>
      <c r="K56" s="4"/>
      <c r="L56" s="4"/>
      <c r="M56" s="4"/>
    </row>
    <row r="57" spans="1:13" ht="21">
      <c r="A57" s="4"/>
      <c r="B57" s="4"/>
      <c r="C57" s="24"/>
      <c r="D57" s="24"/>
      <c r="E57" s="24"/>
      <c r="F57" s="24"/>
      <c r="G57" s="4"/>
      <c r="H57" s="4"/>
      <c r="I57" s="4"/>
      <c r="J57" s="4"/>
      <c r="K57" s="4"/>
      <c r="L57" s="4"/>
      <c r="M57" s="4"/>
    </row>
    <row r="58" spans="1:13" ht="21">
      <c r="A58" s="4"/>
      <c r="B58" s="4"/>
      <c r="C58" s="24"/>
      <c r="D58" s="24"/>
      <c r="E58" s="24"/>
      <c r="F58" s="24"/>
      <c r="G58" s="4"/>
      <c r="H58" s="4"/>
      <c r="I58" s="4"/>
      <c r="J58" s="4"/>
      <c r="K58" s="4"/>
      <c r="L58" s="4"/>
      <c r="M58" s="4"/>
    </row>
    <row r="59" spans="1:13" ht="21">
      <c r="A59" s="4"/>
      <c r="B59" s="4"/>
      <c r="C59" s="24"/>
      <c r="D59" s="24"/>
      <c r="E59" s="24"/>
      <c r="F59" s="24"/>
      <c r="G59" s="4"/>
      <c r="H59" s="4"/>
      <c r="I59" s="4"/>
      <c r="J59" s="4"/>
      <c r="K59" s="4"/>
      <c r="L59" s="4"/>
      <c r="M59" s="4"/>
    </row>
    <row r="60" spans="1:13" ht="21">
      <c r="A60" s="4"/>
      <c r="B60" s="4"/>
      <c r="C60" s="24"/>
      <c r="D60" s="24"/>
      <c r="E60" s="24"/>
      <c r="F60" s="24"/>
      <c r="G60" s="4"/>
      <c r="H60" s="4"/>
      <c r="I60" s="4"/>
      <c r="J60" s="4"/>
      <c r="K60" s="4"/>
      <c r="L60" s="4"/>
      <c r="M60" s="4"/>
    </row>
    <row r="61" spans="1:13" ht="21">
      <c r="A61" s="4"/>
      <c r="B61" s="4"/>
      <c r="C61" s="24"/>
      <c r="D61" s="24"/>
      <c r="E61" s="24"/>
      <c r="F61" s="24"/>
      <c r="G61" s="4"/>
      <c r="H61" s="4"/>
      <c r="I61" s="4"/>
      <c r="J61" s="4"/>
      <c r="K61" s="4"/>
      <c r="L61" s="4"/>
      <c r="M61" s="4"/>
    </row>
    <row r="62" spans="1:13" ht="21">
      <c r="A62" s="4"/>
      <c r="B62" s="4"/>
      <c r="C62" s="24"/>
      <c r="D62" s="24"/>
      <c r="E62" s="24"/>
      <c r="F62" s="24"/>
      <c r="G62" s="4"/>
      <c r="H62" s="4"/>
      <c r="I62" s="4"/>
      <c r="J62" s="4"/>
      <c r="K62" s="4"/>
      <c r="L62" s="4"/>
      <c r="M62" s="4"/>
    </row>
    <row r="63" spans="1:13" ht="21">
      <c r="A63" s="4"/>
      <c r="B63" s="4"/>
      <c r="C63" s="24"/>
      <c r="D63" s="24"/>
      <c r="E63" s="24"/>
      <c r="F63" s="24"/>
      <c r="G63" s="4"/>
      <c r="H63" s="4"/>
      <c r="I63" s="4"/>
      <c r="J63" s="4"/>
      <c r="K63" s="4"/>
      <c r="L63" s="4"/>
      <c r="M63" s="4"/>
    </row>
    <row r="64" spans="1:13" ht="21">
      <c r="A64" s="4"/>
      <c r="B64" s="4"/>
      <c r="C64" s="24"/>
      <c r="D64" s="24"/>
      <c r="E64" s="24"/>
      <c r="F64" s="24"/>
      <c r="G64" s="4"/>
      <c r="H64" s="4"/>
      <c r="I64" s="4"/>
      <c r="J64" s="4"/>
      <c r="K64" s="4"/>
      <c r="L64" s="4"/>
      <c r="M64" s="4"/>
    </row>
    <row r="65" spans="1:13" ht="21">
      <c r="A65" s="4"/>
      <c r="B65" s="4"/>
      <c r="C65" s="24"/>
      <c r="D65" s="24"/>
      <c r="E65" s="24"/>
      <c r="F65" s="24"/>
      <c r="G65" s="4"/>
      <c r="H65" s="4"/>
      <c r="I65" s="4"/>
      <c r="J65" s="4"/>
      <c r="K65" s="4"/>
      <c r="L65" s="4"/>
      <c r="M65" s="4"/>
    </row>
    <row r="66" spans="1:13" ht="21">
      <c r="A66" s="4"/>
      <c r="B66" s="4"/>
      <c r="C66" s="24"/>
      <c r="D66" s="24"/>
      <c r="E66" s="24"/>
      <c r="F66" s="24"/>
      <c r="G66" s="4"/>
      <c r="H66" s="4"/>
      <c r="I66" s="4"/>
      <c r="J66" s="4"/>
      <c r="K66" s="4"/>
      <c r="L66" s="4"/>
      <c r="M66" s="4"/>
    </row>
    <row r="67" spans="1:13" ht="21">
      <c r="A67" s="4"/>
      <c r="B67" s="4"/>
      <c r="C67" s="24"/>
      <c r="D67" s="24"/>
      <c r="E67" s="24"/>
      <c r="F67" s="24"/>
      <c r="G67" s="4"/>
      <c r="H67" s="4"/>
      <c r="I67" s="4"/>
      <c r="J67" s="4"/>
      <c r="K67" s="4"/>
      <c r="L67" s="4"/>
      <c r="M67" s="4"/>
    </row>
    <row r="68" spans="1:13" ht="21">
      <c r="A68" s="4"/>
      <c r="B68" s="4"/>
      <c r="C68" s="24"/>
      <c r="D68" s="24"/>
      <c r="E68" s="24"/>
      <c r="F68" s="24"/>
      <c r="G68" s="4"/>
      <c r="H68" s="4"/>
      <c r="I68" s="4"/>
      <c r="J68" s="4"/>
      <c r="K68" s="4"/>
      <c r="L68" s="4"/>
      <c r="M68" s="4"/>
    </row>
    <row r="69" spans="1:13" ht="21">
      <c r="A69" s="4"/>
      <c r="B69" s="4"/>
      <c r="C69" s="24"/>
      <c r="D69" s="24"/>
      <c r="E69" s="24"/>
      <c r="F69" s="24"/>
      <c r="G69" s="4"/>
      <c r="H69" s="4"/>
      <c r="I69" s="4"/>
      <c r="J69" s="4"/>
      <c r="K69" s="4"/>
      <c r="L69" s="4"/>
      <c r="M69" s="4"/>
    </row>
    <row r="70" spans="1:13" ht="21">
      <c r="A70" s="4"/>
      <c r="B70" s="4"/>
      <c r="C70" s="24"/>
      <c r="D70" s="24"/>
      <c r="E70" s="24"/>
      <c r="F70" s="24"/>
      <c r="G70" s="4"/>
      <c r="H70" s="4"/>
      <c r="I70" s="4"/>
      <c r="J70" s="4"/>
      <c r="K70" s="4"/>
      <c r="L70" s="4"/>
      <c r="M70" s="4"/>
    </row>
    <row r="71" spans="1:13" ht="21">
      <c r="A71" s="4"/>
      <c r="B71" s="4"/>
      <c r="C71" s="24"/>
      <c r="D71" s="24"/>
      <c r="E71" s="24"/>
      <c r="F71" s="24"/>
      <c r="G71" s="4"/>
      <c r="H71" s="4"/>
      <c r="I71" s="4"/>
      <c r="J71" s="4"/>
      <c r="K71" s="4"/>
      <c r="L71" s="4"/>
      <c r="M71" s="4"/>
    </row>
    <row r="72" spans="1:13" ht="21">
      <c r="A72" s="4"/>
      <c r="B72" s="4"/>
      <c r="C72" s="24"/>
      <c r="D72" s="24"/>
      <c r="E72" s="24"/>
      <c r="F72" s="24"/>
      <c r="G72" s="4"/>
      <c r="H72" s="4"/>
      <c r="I72" s="4"/>
      <c r="J72" s="4"/>
      <c r="K72" s="4"/>
      <c r="L72" s="4"/>
      <c r="M72" s="4"/>
    </row>
    <row r="73" spans="1:13" ht="21">
      <c r="A73" s="4"/>
      <c r="B73" s="4"/>
      <c r="C73" s="24"/>
      <c r="D73" s="24"/>
      <c r="E73" s="24"/>
      <c r="F73" s="24"/>
      <c r="G73" s="4"/>
      <c r="H73" s="4"/>
      <c r="I73" s="4"/>
      <c r="J73" s="4"/>
      <c r="K73" s="4"/>
      <c r="L73" s="4"/>
      <c r="M73" s="4"/>
    </row>
    <row r="74" spans="1:13" ht="21">
      <c r="A74" s="4"/>
      <c r="B74" s="4"/>
      <c r="C74" s="24"/>
      <c r="D74" s="24"/>
      <c r="E74" s="24"/>
      <c r="F74" s="24"/>
      <c r="G74" s="4"/>
      <c r="H74" s="4"/>
      <c r="I74" s="4"/>
      <c r="J74" s="4"/>
      <c r="K74" s="4"/>
      <c r="L74" s="4"/>
      <c r="M74" s="4"/>
    </row>
    <row r="75" spans="1:13" ht="21">
      <c r="A75" s="4"/>
      <c r="B75" s="4"/>
      <c r="C75" s="24"/>
      <c r="D75" s="24"/>
      <c r="E75" s="24"/>
      <c r="F75" s="24"/>
      <c r="G75" s="4"/>
      <c r="H75" s="4"/>
      <c r="I75" s="4"/>
      <c r="J75" s="4"/>
      <c r="K75" s="4"/>
      <c r="L75" s="4"/>
      <c r="M75" s="4"/>
    </row>
  </sheetData>
  <sheetProtection/>
  <autoFilter ref="A1:A76"/>
  <mergeCells count="1">
    <mergeCell ref="A1:K1"/>
  </mergeCells>
  <printOptions/>
  <pageMargins left="0.7086614173228347" right="0.7086614173228347" top="1.141732283464567" bottom="0.9448818897637796" header="0.31496062992125984" footer="0.31496062992125984"/>
  <pageSetup orientation="landscape" paperSize="5" r:id="rId1"/>
  <headerFooter>
    <oddFooter>&amp;Cค..ฉ..หน้าที่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Windows7 V.11_x86</dc:creator>
  <cp:keywords/>
  <dc:description/>
  <cp:lastModifiedBy>KKD Windows7 V.11_x86</cp:lastModifiedBy>
  <cp:lastPrinted>2020-05-31T04:15:09Z</cp:lastPrinted>
  <dcterms:created xsi:type="dcterms:W3CDTF">2019-09-20T06:25:53Z</dcterms:created>
  <dcterms:modified xsi:type="dcterms:W3CDTF">2020-06-08T05:42:19Z</dcterms:modified>
  <cp:category/>
  <cp:version/>
  <cp:contentType/>
  <cp:contentStatus/>
</cp:coreProperties>
</file>